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table+xml" PartName="/xl/tables/table5.xml"/>
  <Override ContentType="application/vnd.openxmlformats-officedocument.spreadsheetml.table+xml" PartName="/xl/tables/table4.xml"/>
  <Override ContentType="application/vnd.openxmlformats-officedocument.spreadsheetml.table+xml" PartName="/xl/tables/table3.xml"/>
  <Override ContentType="application/vnd.openxmlformats-officedocument.spreadsheetml.table+xml" PartName="/xl/tables/table1.xml"/>
  <Override ContentType="application/vnd.openxmlformats-officedocument.spreadsheetml.table+xml" PartName="/xl/tables/table2.xml"/>
  <Override ContentType="application/vnd.openxmlformats-officedocument.spreadsheetml.table+xml" PartName="/xl/tables/table7.xml"/>
  <Override ContentType="application/vnd.openxmlformats-officedocument.spreadsheetml.table+xml" PartName="/xl/tables/table6.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ync Logs" sheetId="1" r:id="rId4"/>
    <sheet state="visible" name="survey" sheetId="2" r:id="rId5"/>
    <sheet state="visible" name="choices" sheetId="3" r:id="rId6"/>
    <sheet state="visible" name="settings" sheetId="4" r:id="rId7"/>
    <sheet state="visible" name="entities" sheetId="5" r:id="rId8"/>
    <sheet state="visible" name="plant_list" sheetId="6" r:id="rId9"/>
    <sheet state="visible" name="👋 Start here" sheetId="7" r:id="rId10"/>
    <sheet state="visible" name="⚙️ Types" sheetId="8" r:id="rId11"/>
    <sheet state="visible" name="👀 Appearances" sheetId="9" r:id="rId12"/>
    <sheet state="visible" name="🔀 Relevance" sheetId="10" r:id="rId13"/>
    <sheet state="visible" name="🔒 Constraints" sheetId="11" r:id="rId14"/>
    <sheet state="visible" name="🌐 Translations" sheetId="12" r:id="rId15"/>
    <sheet state="visible" name="🔍 List lookups" sheetId="13" r:id="rId16"/>
    <sheet state="visible" name="✅ Additional columns" sheetId="14" r:id="rId17"/>
  </sheets>
  <definedNames>
    <definedName localSheetId="7" name="field_types">'⚙️ Types'!$B$7:$E$42</definedName>
    <definedName hidden="1" localSheetId="7" name="_xlnm._FilterDatabase">'⚙️ Types'!$D$7:$E$45</definedName>
    <definedName hidden="1" localSheetId="8" name="_xlnm._FilterDatabase">'👀 Appearances'!$D$6:$F$48</definedName>
    <definedName hidden="1" localSheetId="13" name="_xlnm._FilterDatabase">'✅ Additional columns'!$E$5:$G$12</definedName>
  </definedNames>
  <calcPr/>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Write ODK here to Trigger RunODKMediaSync which syncs XLSForm and Google Drive Folder
Write ONA to Replace XLSForm
</t>
      </text>
    </comment>
  </commentLi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Determines what kinds of values are allowed and how the field is displayed. For certain types, further customization is possible using the appearance and parameters columns.
https://docs.getodk.org/form-question-types/</t>
      </text>
    </comment>
    <comment authorId="0" ref="B1">
      <text>
        <t xml:space="preserve">Variable name. It may not contain spaces and must start with a letter or underscore. You should use a short, descriptive name and can use underscores to separate words. For example: date_of_birth.</t>
      </text>
    </comment>
    <comment authorId="0" ref="C1">
      <text>
        <t xml:space="preserve">The user-visible question text for the field. For example: "When was ${first_name} born?" This text can optionally reference other fields or be styled using subsets of Markdown and HTML.
Can be translated.</t>
      </text>
    </comment>
    <comment authorId="0" ref="D1">
      <text>
        <t xml:space="preserve">An expression that determines whether a question will be displayed to a user or not. Lets you define branching or skip logic. 
See the Relevance tab for examples.</t>
      </text>
    </comment>
    <comment authorId="0" ref="E1">
      <text>
        <t xml:space="preserve">One or more modifiers that determine how the question will be displayed.
See the Appearances tab for details.</t>
      </text>
    </comment>
    <comment authorId="0" ref="F1">
      <text>
        <t xml:space="preserve">An expression that will be evaluated to determine the value of the field.
⚠️ Expressions may be re-evaluated at any time. Question types with calculations should be marked as read-only. Otherwise, a user-provided value may be replaced by a calculated one.
To limit when expressions are evaluated, for example to specify dynamic defaults, use the trigger column or the once() function. 
https://docs.getodk.org/form-logic/#when-expressions-are-evaluated</t>
      </text>
    </comment>
    <comment authorId="0" ref="G1">
      <text>
        <t xml:space="preserve">Leave blank for questions that aren't required. Write yes for questions that are required. You can also use an expression to make a question conditionally required.
https://docs.getodk.org/form-logic/#requiring-responses</t>
      </text>
    </comment>
    <comment authorId="0" ref="H1">
      <text>
        <t xml:space="preserve">An expression that determines whether a user-provided answer will be allowed or not. Constraint expressions use . to mean the value of the current field.
See the Constraints tab for examples.</t>
      </text>
    </comment>
    <comment authorId="0" ref="I1">
      <text>
        <t xml:space="preserve">Used with select questions to filter the choices shown to the user. The expression will be evaluated against each choice. If it evaluates to true, the choice is included.
For example, the expression "country = ${country}" includes choices for which the country column's value matches the value of the ${country} field in the form.
https://docs.getodk.org/form-logic/#filtering-options-in-select-questions</t>
      </text>
    </comment>
    <comment authorId="0" ref="J1">
      <text>
        <t xml:space="preserve">A fixed value or an expression that will be evaluated once on form load. The value can then be modified by the user.
https://docs.getodk.org/form-logic/#setting-default-responses</t>
      </text>
    </comment>
    <comment authorId="0" ref="K1">
      <text>
        <t xml:space="preserve">A hint that will be shown to the user below the question's label in smaller text.
Can be translated.</t>
      </text>
    </comment>
    <comment authorId="0" ref="L1">
      <text>
        <t xml:space="preserve">One or more pairs of keys and values that configure aspects of a question type that are not appearance-related.
For example, an image question might have: max-pixels=1024</t>
      </text>
    </comment>
    <comment authorId="0" ref="O1">
      <text>
        <t xml:space="preserve">The number of instances of a repeat to create. Can be a fixed value or a 
dynamic expression.
https://docs.getodk.org/form-logic/#fixed-repeat-count</t>
      </text>
    </comment>
    <comment authorId="0" ref="P1">
      <text>
        <t xml:space="preserve">Reference to a question that triggers the specified calculation when its value changes only. Useful for dynamic defaults.
https://docs.getodk.org/form-logic/#dynamic-defaults-from-form-data
</t>
      </text>
    </comment>
    <comment authorId="0" ref="Q1">
      <text>
        <t xml:space="preserve">Specify the filename of an audio file. This will display a button to play the audio next to the question label.
Can be translated.</t>
      </text>
    </comment>
    <comment authorId="0" ref="R1">
      <text>
        <t xml:space="preserve">Specify the filename of an image to display in addition to or instead of a text label.
 Can be translated.</t>
      </text>
    </comment>
    <comment authorId="0" ref="S1">
      <text>
        <t xml:space="preserve">Specify the filename of an image to display in addition to or instead of a text label.
 Can be translated.</t>
      </text>
    </comment>
    <comment authorId="0" ref="T1">
      <text>
        <t xml:space="preserve">Specify the filename of an audio file. This will display a button to play the audio next to the question label.
Can be translated.</t>
      </text>
    </comment>
    <comment authorId="0" ref="U1">
      <text>
        <t xml:space="preserve">Specify the filename of an image to display in addition to or instead of a text label.
 Can be translated.</t>
      </text>
    </comment>
    <comment authorId="0" ref="V1">
      <text>
        <t xml:space="preserve">Specify the filename of an audio file. This will display a button to play the audio next to the question label.
Can be translated.</t>
      </text>
    </comment>
    <comment authorId="0" ref="W1">
      <text>
        <t xml:space="preserve">The user-visible question text for the field. For example: "When was ${first_name} born?" This text can optionally reference other fields or be styled using subsets of Markdown and HTML.
Can be translated.</t>
      </text>
    </comment>
    <comment authorId="0" ref="X1">
      <text>
        <t xml:space="preserve">The user-visible question text for the field. For example: "When was ${first_name} born?" This text can optionally reference other fields or be styled using subsets of Markdown and HTML.
Can be translated.</t>
      </text>
    </comment>
    <comment authorId="0" ref="AE1">
      <text>
        <t xml:space="preserve">Auto Dependent Dropdowns created by GApps Script using allowed_appearances column
</t>
      </text>
    </comment>
    <comment authorId="0" ref="AF1">
      <text>
        <t xml:space="preserve">Showa what appearances are allowed for the given question type. 
Conditional formatting highlights appearance if it is invalid/not in allowed_appearances
</t>
      </text>
    </comment>
    <comment authorId="0" ref="AG1">
      <text>
        <t xml:space="preserve">Can include a human-friendly note to describe the row. This will be ignored by all ODK tools.</t>
      </text>
    </comment>
    <comment authorId="0" ref="AH1">
      <text>
        <t xml:space="preserve">A message shown when the constraint expression evaluates to false.
Can be translated.</t>
      </text>
    </comment>
    <comment authorId="0" ref="AI1">
      <text>
        <t xml:space="preserve">Specify the filename of a video file. This will display a button to play the video next to the question label.
Can be translated.</t>
      </text>
    </comment>
    <comment authorId="0" ref="F45">
      <text>
        <t xml:space="preserve">new:
if plant_id is empty, then use calc_barcode1, otherwise use plant_id
old:
if(string-length(${barcode1}) &gt; 0,int(${calc_barcode1}),int(${plant_id}))</t>
      </text>
    </comment>
    <comment authorId="0" ref="O170">
      <text>
        <t xml:space="preserve">${calc_grafts_rootstock_total}</t>
      </text>
    </comment>
  </commentLi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The name of a list. To group choices in a list, give them all the same list_name.
You can use the list_name with select types and as part of instance statements for looking values in lists.</t>
      </text>
    </comment>
    <comment authorId="0" ref="B1">
      <text>
        <t xml:space="preserve">The value that will be saved when this choice is selected. This is the value you will use in analysis.
Like field names, choice names should be short and descriptive (e.g., y for Yes and n for No).</t>
      </text>
    </comment>
    <comment authorId="0" ref="D1">
      <text>
        <t xml:space="preserve">The user-visible question text for the field. For example: "When was ${first_name} born?" This text can optionally reference other fields or be styled using subsets of Markdown and HTML.
Can be translated.</t>
      </text>
    </comment>
    <comment authorId="0" ref="F1">
      <text>
        <t xml:space="preserve">The user-visible question text for the field. For example: "When was ${first_name} born?" This text can optionally reference other fields or be styled using subsets of Markdown and HTML.
Can be translated.</t>
      </text>
    </comment>
    <comment authorId="0" ref="H1">
      <text>
        <t xml:space="preserve">The user-visible question text for the field. For example: "When was ${first_name} born?" This text can optionally reference other fields or be styled using subsets of Markdown and HTML.
Can be translated.</t>
      </text>
    </comment>
    <comment authorId="0" ref="P1">
      <text>
        <t xml:space="preserve">Specify the filename of an image to display in addition to or instead of a text label.
 Can be translated.</t>
      </text>
    </comment>
    <comment authorId="0" ref="Q1">
      <text>
        <t xml:space="preserve">Specify the filename of an image to display in addition to or instead of a text label.
 Can be translated.</t>
      </text>
    </comment>
    <comment authorId="0" ref="R1">
      <text>
        <t xml:space="preserve">Specify the filename of an image to display in addition to or instead of a text label.
 Can be translated.</t>
      </text>
    </comment>
    <comment authorId="0" ref="S1">
      <text>
        <t xml:space="preserve">Specify the filename of an audio file. This will display a button to play the audio next to the question label.
Can be translated.</t>
      </text>
    </comment>
    <comment authorId="0" ref="T1">
      <text>
        <t xml:space="preserve">Specify the filename of an audio file. This will display a button to play the audio next to the question label.
Can be translated.</t>
      </text>
    </comment>
    <comment authorId="0" ref="U1">
      <text>
        <t xml:space="preserve">Specify the filename of an audio file. This will display a button to play the audio next to the question label.
Can be translated.</t>
      </text>
    </comment>
  </commentLi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The title that will be displayed to anyone who uses this form.
https://docs.getodk.org/xlsform/#the-settings-sheet</t>
      </text>
    </comment>
    <comment authorId="0" ref="B1">
      <text>
        <t xml:space="preserve">The unique ID that identifies this form to tools that use it. It may not contain spaces and must start with a letter or underscore. You should use a short, descriptive name and can use underscores to separate words. 
For example: bench_inventory_2021
You can change the form_title as much as you would like but if you change the form_id, it will be considered a different form definition.</t>
      </text>
    </comment>
    <comment authorId="0" ref="C1">
      <text>
        <t xml:space="preserve">The unique version code that identifies the current state of the form. A common convention is to use a format like yyyymmddrr. For example, 2017021501 is the 1st revision from Feb 15th, 2017.
By default, this template uses a formula to create a date-based version that will update automatically.</t>
      </text>
    </comment>
    <comment authorId="0" ref="D1">
      <text>
        <t xml:space="preserve">An expression that will be used to represent a specific filled form created from this form definition. This will be used in lists of filled forms and on the server.
For example, concat(${first_name}, "-", ${age})
https://docs.getodk.org/xlsform/#naming-filled-forms</t>
      </text>
    </comment>
    <comment authorId="0" ref="E1">
      <text>
        <t xml:space="preserve">If a form has multiple languages, the language that will be selected by default. For example: English (en)</t>
      </text>
    </comment>
    <comment authorId="0" ref="F1">
      <text>
        <t xml:space="preserve">For Enketo web forms, specify different ways of displaying questions. 
theme-grid: display all questions in a compact grid. Use with w* appearances 
pages: show each question or field list on its own page (like in Collect). Can optionally combine with theme-grid.
no-text-transform: can optionally combine with theme-grid to keep question labels lowercase.</t>
      </text>
    </comment>
  </commentLi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A1">
      <text>
        <t xml:space="preserve">The name of the entity list that Entities will be created in.
https://docs.getodk.org/central-entities/</t>
      </text>
    </comment>
    <comment authorId="0" ref="B1">
      <text>
        <t xml:space="preserve">An expression used to create a label for each new Entity.</t>
      </text>
    </comment>
  </commentList>
</comments>
</file>

<file path=xl/sharedStrings.xml><?xml version="1.0" encoding="utf-8"?>
<sst xmlns="http://schemas.openxmlformats.org/spreadsheetml/2006/main" count="9995" uniqueCount="4135">
  <si>
    <t>Message</t>
  </si>
  <si>
    <t>Version</t>
  </si>
  <si>
    <t>Uploaded Count</t>
  </si>
  <si>
    <t>Uploaded Files</t>
  </si>
  <si>
    <t>Pending Count</t>
  </si>
  <si>
    <t>Pending Files</t>
  </si>
  <si>
    <t>Published At</t>
  </si>
  <si>
    <t>Timestamp</t>
  </si>
  <si>
    <t>Trigger</t>
  </si>
  <si>
    <t>✅ Media Sync Complete</t>
  </si>
  <si>
    <t>2025_10_01_07:51-09</t>
  </si>
  <si>
    <t>None</t>
  </si>
  <si>
    <t>bowl_large.mp3, bowl_small.mp3, bucket_10L.mp3, bucket_15L.mp3, bucket_20L.mp3, bucket_25L.mp3, container_other.mp3, grafting.mp3, mamadi.jpg, pierre.jpg, q_graft_barcode_scan.mp3, q_graft_gps_rootstock.mp3, q_graft_rootstock_name.mp3, q_graft_rootstock_qty_10L.mp3, q_graft_rootstock_qty_15L.mp3, q_graft_rootstock_qty_20L.mp3, q_graft_rootstock_qty_25L.mp3, q_graft_rootstock_qty_bowl_large.mp3, q_graft_rootstock_qty_bowl_small.mp3, q_graft_rootstock_qty_other.mp3, q_graft_rootstock_qty_sac_long.mp3, q_graft_rootstock_qty_sac_small.mp3, q_graft_rootstock_same_species.mp3, q_graft_rootstock_scan.mp3, q_graft_rootstock_which_containers.mp3, q_graft_type.mp3, q_graft_unknown_seedling_nursery.mp3, q_graft_who.mp3, q_photo_graft_scion_tip.mp3, q_photo_graft_union.mp3, q_scion_really_ready.mp3, q_when_graft.mp3, r_new leaves.mp3, sac_long.mp3, sac_small.mp3, tyler1.jpg</t>
  </si>
  <si>
    <t>2025-09-03T10:59:10.929Z</t>
  </si>
  <si>
    <t>Small Bowl</t>
  </si>
  <si>
    <t>10L Bucket</t>
  </si>
  <si>
    <t>15L Bucket</t>
  </si>
  <si>
    <t>20L Bucket</t>
  </si>
  <si>
    <t>25L Bucket</t>
  </si>
  <si>
    <t>Other</t>
  </si>
  <si>
    <t>Grafting</t>
  </si>
  <si>
    <t>Scan the label marking Graft</t>
  </si>
  <si>
    <t>Record a GPS Point</t>
  </si>
  <si>
    <t>What is the name of this tree/plant?</t>
  </si>
  <si>
    <t>How many rootstocks grafted in the 10L Bucket container(s)?</t>
  </si>
  <si>
    <t>How many rootstocks grafted in the 15L Bucket container(s)?</t>
  </si>
  <si>
    <t>How many rootstocks grafted in the 20L Bucket container(s)?</t>
  </si>
  <si>
    <t>How many rootstocks grafted in the 25L Bucket container(s)?</t>
  </si>
  <si>
    <t>How many rootstocks grafted in the Large Bowl container(s)?</t>
  </si>
  <si>
    <t>How many rootstocks grafted in the Small Bowl container(s)?</t>
  </si>
  <si>
    <t>How many rootstocks grafted in the Other container(s)?</t>
  </si>
  <si>
    <t>How many rootstocks grafted in the Long Sac container(s)?</t>
  </si>
  <si>
    <t>How many rootstocks grafted in the Small Sac container(s)?</t>
  </si>
  <si>
    <t>Is the rootstock from the same species?</t>
  </si>
  <si>
    <t>Rootstock Scan Barcode 1.21</t>
  </si>
  <si>
    <t>Which containers are the rootstock(s) in?</t>
  </si>
  <si>
    <t>What kind of graft did you do? 1.2</t>
  </si>
  <si>
    <t>Is this being propagated in the nursery / grafted onto an unknown seedling in the nursery?</t>
  </si>
  <si>
    <t>Who is grafting?</t>
  </si>
  <si>
    <t xml:space="preserve">Tip Closeup Photo of Scion </t>
  </si>
  <si>
    <t>Take a photo of the graft union</t>
  </si>
  <si>
    <t>How ready is the scion?</t>
  </si>
  <si>
    <t>When was the grafting done?</t>
  </si>
  <si>
    <t>Small Sac</t>
  </si>
  <si>
    <t>Long Sac</t>
  </si>
  <si>
    <t/>
  </si>
  <si>
    <t>type</t>
  </si>
  <si>
    <t>name</t>
  </si>
  <si>
    <t>label::English (en)</t>
  </si>
  <si>
    <t>relevant</t>
  </si>
  <si>
    <t>appearance</t>
  </si>
  <si>
    <t>calculation</t>
  </si>
  <si>
    <t>required</t>
  </si>
  <si>
    <t>constraint</t>
  </si>
  <si>
    <t>choice_filter</t>
  </si>
  <si>
    <t>default</t>
  </si>
  <si>
    <t>hint</t>
  </si>
  <si>
    <t>parameters</t>
  </si>
  <si>
    <t>body::accuracyThreshold</t>
  </si>
  <si>
    <t>readonly</t>
  </si>
  <si>
    <t>repeat_count</t>
  </si>
  <si>
    <t>trigger</t>
  </si>
  <si>
    <t>audio::English (en)</t>
  </si>
  <si>
    <t>image::English (en)</t>
  </si>
  <si>
    <t>image::Français (fr)</t>
  </si>
  <si>
    <t>audio::Français (fr)</t>
  </si>
  <si>
    <t>image::Konyanka (mku)</t>
  </si>
  <si>
    <t>audio::Konyanka (mku)</t>
  </si>
  <si>
    <t>label::Français (fr)</t>
  </si>
  <si>
    <t>label::Konyanka (mku)</t>
  </si>
  <si>
    <t>old_kon</t>
  </si>
  <si>
    <t>kon_emojis</t>
  </si>
  <si>
    <t>keep</t>
  </si>
  <si>
    <t>remove</t>
  </si>
  <si>
    <t>mod</t>
  </si>
  <si>
    <t>appearances_auto_dropdown</t>
  </si>
  <si>
    <t>note</t>
  </si>
  <si>
    <t>constraint_message</t>
  </si>
  <si>
    <t>video</t>
  </si>
  <si>
    <t>username</t>
  </si>
  <si>
    <t>calculate</t>
  </si>
  <si>
    <t>calc1</t>
  </si>
  <si>
    <t>today()</t>
  </si>
  <si>
    <t>current_year_2</t>
  </si>
  <si>
    <t>format-date(${calc1},'%y')</t>
  </si>
  <si>
    <t>current_year</t>
  </si>
  <si>
    <t>format-date(today(),'%Y')</t>
  </si>
  <si>
    <t>current_month</t>
  </si>
  <si>
    <t>format-date(${calc1},'%m')</t>
  </si>
  <si>
    <t>current_day</t>
  </si>
  <si>
    <t>format-date(${calc1},'%e')</t>
  </si>
  <si>
    <t>current_year_month</t>
  </si>
  <si>
    <t>format-date(${calc1},'%Y-%m')</t>
  </si>
  <si>
    <t>form_ver</t>
  </si>
  <si>
    <t>/*[1]/@version</t>
  </si>
  <si>
    <t>start</t>
  </si>
  <si>
    <t>end</t>
  </si>
  <si>
    <t>today</t>
  </si>
  <si>
    <t>deviceid</t>
  </si>
  <si>
    <t>phonenumber</t>
  </si>
  <si>
    <t>audit</t>
  </si>
  <si>
    <t>hidden</t>
  </si>
  <si>
    <t>languages</t>
  </si>
  <si>
    <t>select_one survey_type</t>
  </si>
  <si>
    <t>select_survey_type</t>
  </si>
  <si>
    <t>${form_ver}
Select survey Type: 🌳🌸 ?</t>
  </si>
  <si>
    <t>quick</t>
  </si>
  <si>
    <t>yes</t>
  </si>
  <si>
    <t>${last-saved#select_survey_type}</t>
  </si>
  <si>
    <t>q_survey_type.mp3</t>
  </si>
  <si>
    <t>Sélectionnez le type d'enquête :</t>
  </si>
  <si>
    <t>#🗒️ ❔❔</t>
  </si>
  <si>
    <t>🗒️ ❔❔</t>
  </si>
  <si>
    <t>begin group</t>
  </si>
  <si>
    <t>group_plant</t>
  </si>
  <si>
    <t>${select_survey_type} != 'weather' and ${select_survey_type} != 'compost' and ${select_survey_type} != 'grass_cutting' and ${select_survey_type} != 'bourne' and ${select_survey_type} != 'water_use'</t>
  </si>
  <si>
    <t>field-list</t>
  </si>
  <si>
    <t>note_grafting</t>
  </si>
  <si>
    <t>Scan tree ID from where you obtained the grafting scion</t>
  </si>
  <si>
    <t>${select_survey_type} = 'grafting'</t>
  </si>
  <si>
    <t>Identifiez l'arbre à partir duquel le scion a été obtenu</t>
  </si>
  <si>
    <t>#🏷️ 🌳 ✂️ 🌿</t>
  </si>
  <si>
    <t xml:space="preserve">🏷️ 🌳 ✂️ 🌿 </t>
  </si>
  <si>
    <t>barcode</t>
  </si>
  <si>
    <t>barcode1</t>
  </si>
  <si>
    <t>Scan Barcode 1.31</t>
  </si>
  <si>
    <t>if(contains(${deviceid}, 'enketo'),false(),true())</t>
  </si>
  <si>
    <t>regex(., '^(https?://[^ \t\r\n]+|#[0-9]{1,5}|\*[0-9]{1,5}|G[0-9]{3,5}|9[0-9]{3})$')</t>
  </si>
  <si>
    <t>barcodetreescan.jpg</t>
  </si>
  <si>
    <t>barcodetreescan.mp3</t>
  </si>
  <si>
    <t>Scannez le code-barres</t>
  </si>
  <si>
    <t>#📷 🔢 🏷️</t>
  </si>
  <si>
    <t>Scannez le CODE</t>
  </si>
  <si>
    <t>📷 🔢  🏷️</t>
  </si>
  <si>
    <t>calc_barcode1_type</t>
  </si>
  <si>
    <t>if(string-length(${barcode1})=0, '', 
  if(starts-with(${barcode1}, 'http'), 'URL',
    if(starts-with(${barcode1}, '#'), 'hole',
      if(starts-with(${barcode1}, '*'), 'perm_ID',
        if(starts-with(${barcode1}, 'G'), 'prop',
          if(regex(${barcode1}, '^9[0-9]{3}$'), 'import',
            'unknown'
))))))</t>
  </si>
  <si>
    <t>${barcode1}</t>
  </si>
  <si>
    <t>calc_barcode1_length</t>
  </si>
  <si>
    <t>string-length(${barcode1})</t>
  </si>
  <si>
    <t>test_calc_barcode1_type</t>
  </si>
  <si>
    <t>${barcode1}    :barcode1
${calc_barcode1_length}    :barcode1_length
${calc_barcode1_type}    :barcode1_type</t>
  </si>
  <si>
    <t>calc_ID_from_URL</t>
  </si>
  <si>
    <t>${calc_barcode1_type}='URL'</t>
  </si>
  <si>
    <t>selected-at(translate(${barcode1},"/"," "),count-selected(translate(${barcode1},"/"," "))-1)</t>
  </si>
  <si>
    <t>select_one_from_file prop.csv</t>
  </si>
  <si>
    <t>select_prop_IID</t>
  </si>
  <si>
    <t>Select from the list the proper identity of the propagated indiv</t>
  </si>
  <si>
    <t>${calc_barcode1_type}='prop'</t>
  </si>
  <si>
    <t>autocomplete</t>
  </si>
  <si>
    <t>barcode_graft=${barcode1}</t>
  </si>
  <si>
    <t>integer</t>
  </si>
  <si>
    <t>year_prop</t>
  </si>
  <si>
    <t>What year was this propagated?</t>
  </si>
  <si>
    <t>counter</t>
  </si>
  <si>
    <t>number(${current_year})</t>
  </si>
  <si>
    <t>regex(., '^20([2-9][0-9])$')</t>
  </si>
  <si>
    <t>Must be &gt;2020</t>
  </si>
  <si>
    <t>calc_test1</t>
  </si>
  <si>
    <t>translate(${barcode1},"/"," ")</t>
  </si>
  <si>
    <t>calc_test2</t>
  </si>
  <si>
    <t>debug_static_pulldata</t>
  </si>
  <si>
    <t>pulldata('Import','Tree_ID','Loc','030')</t>
  </si>
  <si>
    <t>note_debug_static</t>
  </si>
  <si>
    <t>Static lookup -&gt;${debug_static_pulldata}</t>
  </si>
  <si>
    <t>note_calc_test1</t>
  </si>
  <si>
    <t>${calc_test1}    :calc_test1
${calc_test2}    :calc_test2
${calc_ID_from_URL}    :calc_ID_from_URL
${calc_prop_id_w_prefix}    :calc_prop_id_w_prefix</t>
  </si>
  <si>
    <t>calc_prop_id_w_prefix</t>
  </si>
  <si>
    <t>if(${calc_barcode1_type} = 'prop',
      concat(substring-after(${year_prop}, '20'), ${barcode1}),'')</t>
  </si>
  <si>
    <t>calc_barcode1</t>
  </si>
  <si>
    <t xml:space="preserve">if(string-length(${barcode1}) = 0, 
  '', 
  if(${calc_barcode1_type} = 'URL',
    ${calc_ID_from_URL},
    if(${calc_barcode1_type} = 'prop',
      concat(substring-after(${year_prop}, '20'), ${barcode1}),
      if(${calc_barcode1_type} = 'perm_ID',
        substr(${barcode1}, 1, string-length(${barcode1})),
        if(${calc_barcode1_type} = 'hole',
          pulldata('Import', 'Tree_ID', 'Loc', substr(${barcode1}, 1, string-length(${barcode1}))),
          if(${calc_barcode1_type} = 'import',
            ${barcode1},
            substr(${barcode1}, 1, string-length(${barcode1}))
          )
        )
      )
    )
  )
)
</t>
  </si>
  <si>
    <t>text</t>
  </si>
  <si>
    <t>plant_id</t>
  </si>
  <si>
    <t>Tree ID #</t>
  </si>
  <si>
    <t>string-length(${barcode1}) = 0</t>
  </si>
  <si>
    <t>${calc_select_plant_type} = 'tree' or ${calc_select_plant_type} = 'perennial'</t>
  </si>
  <si>
    <t>regex(., '^(?:\d{3,4}|\d{2}G\d{3,4})$')</t>
  </si>
  <si>
    <t>no</t>
  </si>
  <si>
    <t>plant_id.jpg</t>
  </si>
  <si>
    <t>Numéro d'identification de l'arbre</t>
  </si>
  <si>
    <t>#🌳 🔢 🏷️</t>
  </si>
  <si>
    <t>🌳 🔢  🏷️</t>
  </si>
  <si>
    <t>calc_id_type</t>
  </si>
  <si>
    <t xml:space="preserve">if(string-length(${calc_barcode1_type}) != 0, 
  ${calc_barcode1_type}, 
  if(regex(${plant_id}, '^9\\d{3}$'), 
    'import', 
    if(regex(${plant_id}, '^\\d{2}G\\d{3,4}$'), 
      'prop', 
      if(regex(${plant_id}, '^\\d{3,4}$'), 
        'perm_id', 
        'unknown'
      )
    )
  )
)
</t>
  </si>
  <si>
    <t>geopoint</t>
  </si>
  <si>
    <t>gps_no_plant_id</t>
  </si>
  <si>
    <t>${plant_id}="" and ${barcode1}=""</t>
  </si>
  <si>
    <t>string-length(${select_plant_id_species})=0</t>
  </si>
  <si>
    <t>Prendre un point de GPS</t>
  </si>
  <si>
    <t>#🧭</t>
  </si>
  <si>
    <t>🧭</t>
  </si>
  <si>
    <t>calc_gps_req</t>
  </si>
  <si>
    <t>if(string-length(${select_plant_id_species})=0,'yes','no')</t>
  </si>
  <si>
    <t>${select_plant_id_species}</t>
  </si>
  <si>
    <t>audio</t>
  </si>
  <si>
    <t>audio_name_no_plant_id</t>
  </si>
  <si>
    <t>Quelle est le nom de cette plante/arbre?</t>
  </si>
  <si>
    <t>#🌳 🔤</t>
  </si>
  <si>
    <t xml:space="preserve">🌳 🔤 </t>
  </si>
  <si>
    <t>no_id_password</t>
  </si>
  <si>
    <t>Type no ID password</t>
  </si>
  <si>
    <t>${plant_id}="" and ${barcode1}="" and ${select_survey_type} = 'harvest'</t>
  </si>
  <si>
    <t>count backward from three to one</t>
  </si>
  <si>
    <t>select_one list_plants</t>
  </si>
  <si>
    <t>select_plant_id_species</t>
  </si>
  <si>
    <t>Select plant species from list:</t>
  </si>
  <si>
    <t>${plant_id}='' and ${barcode1}='' and ${no_id_password}='321'</t>
  </si>
  <si>
    <t>search</t>
  </si>
  <si>
    <t>calc_plant_id</t>
  </si>
  <si>
    <t xml:space="preserve">if(${plant_id}='', ${calc_barcode1}, ${plant_id})
</t>
  </si>
  <si>
    <t>q_tree_type.mp3</t>
  </si>
  <si>
    <t>calc_preferred_propagation_plant_id</t>
  </si>
  <si>
    <t>pulldata('Import', 'preferred_propagation', 'Tree_ID', ${calc_plant_id})</t>
  </si>
  <si>
    <t>calc_propagated_by_plant_id</t>
  </si>
  <si>
    <t>pulldata('Import', 'propagated_by', 'Tree_ID', ${calc_plant_id})</t>
  </si>
  <si>
    <t>calc_select_plant_type</t>
  </si>
  <si>
    <t>pulldata('Import', 'plant_type', 'Tree_ID', ${calc_plant_id})</t>
  </si>
  <si>
    <t>${plant_id}</t>
  </si>
  <si>
    <t>test_calc_select_plant_type</t>
  </si>
  <si>
    <t>${calc_barcode1}    :calc_barcode1
${plant_id}    :plant_ID
${calc_temp_id}     :temp_id
${calc_plant_id}     :calc_plant_ID
${calc_id_type}    :calc_id_type
${calc_preferred_propagation_plant_id}     :preferred_propagation_plant_id
${calc_propagated_by_plant_id}    :prop by
${calc_select_plant_type}    :calc_select_plant_type</t>
  </si>
  <si>
    <t>calc_scientific_name</t>
  </si>
  <si>
    <t>if(${calc_plant_id}!="", pulldata('Import', 'Scientific_Name', 'Tree_ID', ${calc_plant_id}), translate(${select_plant_id_species},"_"," "))</t>
  </si>
  <si>
    <t>calc_common_name</t>
  </si>
  <si>
    <t>pulldata('Import', 'Common_Name', 'Tree_ID', ${calc_plant_id})</t>
  </si>
  <si>
    <t>calc_common_name_fr</t>
  </si>
  <si>
    <t>pulldata('Import', 'FR_Common_Name', 'Tree_ID', ${calc_plant_id})</t>
  </si>
  <si>
    <t>calc_variety_name</t>
  </si>
  <si>
    <t>pulldata('Import', 'Variety', 'Tree_ID', ${calc_plant_id})</t>
  </si>
  <si>
    <t>calc_temp_id</t>
  </si>
  <si>
    <t>pulldata('Import', 'Temp_ID', 'Tree_ID', ${calc_plant_id})</t>
  </si>
  <si>
    <t>note_disp_scientific_name</t>
  </si>
  <si>
    <t>${calc_plant_id} - ${calc_scientific_name}.
${calc_common_name} - ${calc_variety_name}.</t>
  </si>
  <si>
    <t>photo</t>
  </si>
  <si>
    <t>photo_plant_id</t>
  </si>
  <si>
    <t>Take a photo of the ID Tag</t>
  </si>
  <si>
    <t>string-length(${barcode1}) = 0 and string-length(${calc_plant_id}) &gt; 0 and ${calc_select_plant_type} !='cashew'</t>
  </si>
  <si>
    <t>${calc_select_plant_type} !='cashew'</t>
  </si>
  <si>
    <t>max-pixels=650</t>
  </si>
  <si>
    <t>plant_tags.jpg</t>
  </si>
  <si>
    <t>Prenez une photo de l'étiquette d'identification</t>
  </si>
  <si>
    <t>#📷 🔤 🏷️</t>
  </si>
  <si>
    <t>📷 🔤  🏷️</t>
  </si>
  <si>
    <t>group_cashew_new</t>
  </si>
  <si>
    <t>${calc_select_plant_type} = 'cashew' and ${select_survey_type} = 'new' or ${calc_select_plant_type} = 'cashew' and ${select_survey_type} = 'quarterly'</t>
  </si>
  <si>
    <t>row</t>
  </si>
  <si>
    <t>Row Number</t>
  </si>
  <si>
    <t>. &gt;0 and . &lt;=22</t>
  </si>
  <si>
    <t>${last-saved#row}</t>
  </si>
  <si>
    <t>Numéro de ligne</t>
  </si>
  <si>
    <t>calc_row_spaces</t>
  </si>
  <si>
    <t>pulldata('cashewhill', 'holes', 'rows', ${row})</t>
  </si>
  <si>
    <t>${row}</t>
  </si>
  <si>
    <t>row_spaces</t>
  </si>
  <si>
    <t>Number of Holes in Row</t>
  </si>
  <si>
    <t>${calc_plant_id} &lt;300</t>
  </si>
  <si>
    <t>int(${calc_row_spaces})</t>
  </si>
  <si>
    <t>. &gt;0 and . &lt;=13</t>
  </si>
  <si>
    <t>Nombre de trous dans la rangée</t>
  </si>
  <si>
    <t>hole_near</t>
  </si>
  <si>
    <t>Hole Number Near</t>
  </si>
  <si>
    <t>if(${last-saved#hole_near}= 0, '0', ${last-saved#hole_near}+1)</t>
  </si>
  <si>
    <t>Numéro de trou proche</t>
  </si>
  <si>
    <t>calc_row</t>
  </si>
  <si>
    <t>if(string-length(${row})=1, concat('0',${row}),${row})</t>
  </si>
  <si>
    <t>calc_hole_near</t>
  </si>
  <si>
    <t>if(string-length(${hole_near})=1, concat('0',${hole_near}),${hole_near})</t>
  </si>
  <si>
    <t>calc_old_cashew_ID_near</t>
  </si>
  <si>
    <t>concat(${calc_row},'N',${calc_hole_near})</t>
  </si>
  <si>
    <t>calc_hole_far</t>
  </si>
  <si>
    <t>${row_spaces} + 1 - ${hole_near}</t>
  </si>
  <si>
    <t>calc_hole_far2</t>
  </si>
  <si>
    <t>if(string-length(${calc_hole_far})=1, concat('0',${calc_hole_far}),${calc_hole_far})</t>
  </si>
  <si>
    <t>calc_old_cashew_ID_far</t>
  </si>
  <si>
    <t>concat(${calc_row},'F',${calc_hole_far2})</t>
  </si>
  <si>
    <t>note_old_cashew_ID_near</t>
  </si>
  <si>
    <t>${calc_old_cashew_ID_near} : Old Cashew ID Near Side</t>
  </si>
  <si>
    <t>false()</t>
  </si>
  <si>
    <t>${calc_old_cashew_ID_near} : Ancien ID Cajou Côté Proche</t>
  </si>
  <si>
    <t>note_old_cashew_ID_far</t>
  </si>
  <si>
    <t>${calc_old_cashew_ID_far} : Old Cashew ID Far Side</t>
  </si>
  <si>
    <t>${calc_old_cashew_ID_far} : Ancien ID Cajou, Côté Loin</t>
  </si>
  <si>
    <t>note_old_cashew_ID_near_far</t>
  </si>
  <si>
    <t>${calc_old_cashew_ID_near} : Old Cashew ID Near Side
${calc_old_cashew_ID_far} : Old Cashew ID Far Side</t>
  </si>
  <si>
    <t>${calc_old_cashew_ID_near} : Ancien identifiant de noix de cajou Côté Proche
${calc_old_cashew_ID_far} : Ancien identifiant de noix de cajou, Côté Loin</t>
  </si>
  <si>
    <t>end group</t>
  </si>
  <si>
    <t>group_cashew_new2</t>
  </si>
  <si>
    <t>${select_survey_type} = 'new' and ${calc_select_plant_type} = 'cashew'</t>
  </si>
  <si>
    <t>select_one cashew_group_color</t>
  </si>
  <si>
    <t>cashew_group_color</t>
  </si>
  <si>
    <t>Select the cashew group color</t>
  </si>
  <si>
    <t>Sélectionnez la couleur du groupe de noix de cajou</t>
  </si>
  <si>
    <t>#🎨 ❔</t>
  </si>
  <si>
    <t>🎨 ❔</t>
  </si>
  <si>
    <t>select_one cashew_treatment</t>
  </si>
  <si>
    <t>select_cashew_treatment</t>
  </si>
  <si>
    <t>Select cashew group treatment</t>
  </si>
  <si>
    <t>Sélectionnez le traitement de groupe aux noix de cajou</t>
  </si>
  <si>
    <t>select_one cashew_import_year</t>
  </si>
  <si>
    <t>select_cashew_import_year</t>
  </si>
  <si>
    <t>Select Import Year</t>
  </si>
  <si>
    <t>Sélectionnez l'année d'importation</t>
  </si>
  <si>
    <t>#🚚 📅 ❔</t>
  </si>
  <si>
    <t>🚚 📅 ❔</t>
  </si>
  <si>
    <t>calc_cashew_date</t>
  </si>
  <si>
    <t>if(selected(${select_cashew_import_year}, '2019'), '2019-08-08T00:00:00-00:00', if(selected(${select_cashew_import_year}, '2020'), '2021-06-01T00:00:00-00:00', 'today()'))</t>
  </si>
  <si>
    <t>photo_monthly</t>
  </si>
  <si>
    <t>Take a Photo of the plant</t>
  </si>
  <si>
    <t>${select_survey_type} = 'monthly' or ${select_survey_type} = 'quarterly' or ${select_survey_type} = 'new' or ${select_survey_type} = 'quickly'</t>
  </si>
  <si>
    <t>${select_survey_type} != 'harvest'</t>
  </si>
  <si>
    <t>max-pixels=1500</t>
  </si>
  <si>
    <t>q_photo_tree.jpg</t>
  </si>
  <si>
    <t>q_photo.mp3</t>
  </si>
  <si>
    <t>Prendre une photo de la plante</t>
  </si>
  <si>
    <t>#📷 🌳</t>
  </si>
  <si>
    <t>📷 🌳</t>
  </si>
  <si>
    <t>select_one health_rating</t>
  </si>
  <si>
    <t>plant_health</t>
  </si>
  <si>
    <t>Current Health Rating</t>
  </si>
  <si>
    <t>${select_survey_type} = 'monthly' or ${select_survey_type} = 'quarterly' or ${select_survey_type} = 'new'</t>
  </si>
  <si>
    <t>q_health.mp3</t>
  </si>
  <si>
    <t>Évaluation de la santé actuelle</t>
  </si>
  <si>
    <t>#😃 ↔️ 💀 ❔</t>
  </si>
  <si>
    <t>😃 ↔️ 💀 ❔</t>
  </si>
  <si>
    <t>calc_plant_health</t>
  </si>
  <si>
    <t>if(selected(${plant_health}, '0'), 'yes', if(selected(${plant_health}, '1'), 'yes', 'no'))</t>
  </si>
  <si>
    <t>select_one yes_no</t>
  </si>
  <si>
    <t>plant_problem</t>
  </si>
  <si>
    <t>Does the tree have any problems?</t>
  </si>
  <si>
    <t>${select_survey_type} = 'monthly' or ${select_survey_type} = 'quarterly' or ${select_survey_type} = 'new' and ${plant_health}!=0</t>
  </si>
  <si>
    <t>${calc_plant_health}</t>
  </si>
  <si>
    <t>${plant_health}</t>
  </si>
  <si>
    <t>q_problems.mp3</t>
  </si>
  <si>
    <t>L'arbre a-t-il des problèmes?</t>
  </si>
  <si>
    <t>#🌳 ‼️ ❔</t>
  </si>
  <si>
    <t>🌳 ‼️ ❔</t>
  </si>
  <si>
    <t>group_germination</t>
  </si>
  <si>
    <t>${select_survey_type} = 'germination'</t>
  </si>
  <si>
    <t>group_germination1</t>
  </si>
  <si>
    <t>select_one germination_start_end</t>
  </si>
  <si>
    <t>select_germination_start_end</t>
  </si>
  <si>
    <t>Are you planting seeds or counting germinated seeds?</t>
  </si>
  <si>
    <t>Plantez-vous des graines ou comptez-vous les graines germées ?</t>
  </si>
  <si>
    <t>date</t>
  </si>
  <si>
    <t>date_seeds_planted</t>
  </si>
  <si>
    <t>When were these seeds planted?</t>
  </si>
  <si>
    <t>${select_germination_start_end} = 'germination_start'</t>
  </si>
  <si>
    <t>Quand est-ce que ces grains etait planté?</t>
  </si>
  <si>
    <t>photo_germination_seed_source</t>
  </si>
  <si>
    <t>Take a photo of where you obtained the seeds? (Tree ID label or Seed Packet)</t>
  </si>
  <si>
    <t>string-length(${calc_plant_id}) = 0</t>
  </si>
  <si>
    <t>Prendre une photo de l'endroit où vous avez obtenu les graines ? (Étiquette d'identification de l'arbre ou paquet de graines)</t>
  </si>
  <si>
    <t>begin repeat</t>
  </si>
  <si>
    <t>repeat_germination</t>
  </si>
  <si>
    <t>germination_start_count</t>
  </si>
  <si>
    <t>How many seeds did you plant?</t>
  </si>
  <si>
    <t>Combien de graines as-tu planté ?</t>
  </si>
  <si>
    <t>#🔢 🫘 ❔</t>
  </si>
  <si>
    <t>🔢 🫘 ❔</t>
  </si>
  <si>
    <t>select_one germination_container_type</t>
  </si>
  <si>
    <t>select_germination_containers</t>
  </si>
  <si>
    <t>What container did you plant them into?</t>
  </si>
  <si>
    <t>Dans quelle récipient les avez-vous plantés ?</t>
  </si>
  <si>
    <t>#🪣 ❔</t>
  </si>
  <si>
    <t xml:space="preserve"> 🪣 ❔</t>
  </si>
  <si>
    <t>photo_germination_start</t>
  </si>
  <si>
    <t>Take a photo of the container you've planted seeds into</t>
  </si>
  <si>
    <t>Prenez une photo du ou des récipients dans lesquels vous avez planté des graines</t>
  </si>
  <si>
    <t>#📷 🪣</t>
  </si>
  <si>
    <t>📷 🪣</t>
  </si>
  <si>
    <t>germination_end_count</t>
  </si>
  <si>
    <t>How many seeds germinated</t>
  </si>
  <si>
    <t>${select_germination_start_end} = 'germination_end'</t>
  </si>
  <si>
    <t>Combien de graines ont germé</t>
  </si>
  <si>
    <t>#🔢 🫘 🪴❔</t>
  </si>
  <si>
    <t>🔢 🫘 🪴❔</t>
  </si>
  <si>
    <t>photo_germination_end</t>
  </si>
  <si>
    <t>Take a photo of the successfully germinated seeds in their container</t>
  </si>
  <si>
    <t>Prenez une photo des graines germées avec succès dans leur récipient</t>
  </si>
  <si>
    <t>#📷 🫘 🪴</t>
  </si>
  <si>
    <t>📷 🫘 🪴</t>
  </si>
  <si>
    <t>end repeat</t>
  </si>
  <si>
    <t>calc_total_seeds_planted</t>
  </si>
  <si>
    <t>sum(${germination_start_count})</t>
  </si>
  <si>
    <t>calc_total_seeds_germinated</t>
  </si>
  <si>
    <t>sum(${germination_end_count})</t>
  </si>
  <si>
    <t>note_calc_total_seeds_planted</t>
  </si>
  <si>
    <t>${calc_total_seeds_planted} seeds planted</t>
  </si>
  <si>
    <t>${calc_total_seeds_planted} grains planté</t>
  </si>
  <si>
    <t>note_calc_total_seeds_germinated</t>
  </si>
  <si>
    <t>${calc_total_seeds_germinated} seeds germinated</t>
  </si>
  <si>
    <t>${calc_total_seeds_germinated} grains germiné</t>
  </si>
  <si>
    <t>group_grafting</t>
  </si>
  <si>
    <t>Propagation</t>
  </si>
  <si>
    <t>date_grafted</t>
  </si>
  <si>
    <t>. &lt;= date(today())</t>
  </si>
  <si>
    <t>calendar.jpg</t>
  </si>
  <si>
    <t>q_when_graft.mp3</t>
  </si>
  <si>
    <t>Quand est-ce que le greffage etait fait?</t>
  </si>
  <si>
    <t>select_rootstock_unknown</t>
  </si>
  <si>
    <t xml:space="preserve">contains(${calc_preferred_propagation_plant_id}, 'graft') </t>
  </si>
  <si>
    <t>q_graft_unknown_seedling_nursery.mp3</t>
  </si>
  <si>
    <t>Est-ce que celui-ci est greffé sur un plant inconnu en pépinière ?</t>
  </si>
  <si>
    <t>group_rootstock_1</t>
  </si>
  <si>
    <t>Rootstock Details</t>
  </si>
  <si>
    <t>${select_rootstock_unknown}='no'</t>
  </si>
  <si>
    <t>Porte Greffe Detailles</t>
  </si>
  <si>
    <t>barcode1_rootstock</t>
  </si>
  <si>
    <t>regex(., '^[\*G][0-9]{1,4}(-[0-9A-Z]{1,4})?$')</t>
  </si>
  <si>
    <t>q_graft_rootstock_scan.mp3</t>
  </si>
  <si>
    <t>Porte-Greffe Scannez le code-barres</t>
  </si>
  <si>
    <t>Porte-Greffe Scannez le CODE</t>
  </si>
  <si>
    <t>calc_barcode1_rootstock</t>
  </si>
  <si>
    <t>if(string-length(${barcode1_rootstock}) &gt; 0, int(substr(${barcode1_rootstock}, 1, string-length(${barcode1_rootstock}))), if(${last-saved#plant_id_rootstock}='', '', ${last-saved#plant_id_rootstock}+1))</t>
  </si>
  <si>
    <t>${barcode1_rootstock}</t>
  </si>
  <si>
    <t>plant_id_rootstock</t>
  </si>
  <si>
    <t>Rootstock Tree ID #</t>
  </si>
  <si>
    <t>string-length(${barcode1_rootstock}) = 0</t>
  </si>
  <si>
    <t>${calc_barcode1_rootstock}</t>
  </si>
  <si>
    <t>regex(., '^[0-9]{1,4}(-[0-9A-Z]{1,4})?$')</t>
  </si>
  <si>
    <t>Porte-Greffe Numéro d'identification de l'arbre</t>
  </si>
  <si>
    <t>gps_no_plant_id_rootstock</t>
  </si>
  <si>
    <t>${plant_id_rootstock}="" and ${barcode1_rootstock}=""</t>
  </si>
  <si>
    <t>string-length(${plant_id_rootstock})=0</t>
  </si>
  <si>
    <t>q_graft_gps_rootstock.mp3</t>
  </si>
  <si>
    <t>calc_gps_req_rootstock</t>
  </si>
  <si>
    <t>if(string-length(${select_rootstock_species})=0,'yes','no')</t>
  </si>
  <si>
    <t>audio_name_no_plant_id_rootstock</t>
  </si>
  <si>
    <t>string-length(${select_rootstock_species})=0</t>
  </si>
  <si>
    <t>q_graft_rootstock_name.mp3</t>
  </si>
  <si>
    <t>calc_plant_id_rootstock</t>
  </si>
  <si>
    <t>if(string-length(${barcode1_rootstock}) &gt; 0,int(${calc_barcode1_rootstock}),int(${plant_id_rootstock}))</t>
  </si>
  <si>
    <t>calc_scientific_name_rootstock</t>
  </si>
  <si>
    <t>if(${calc_plant_id_rootstock}!="", pulldata('Import', 'Scientific_Name', 'Tree_ID', ${calc_plant_id_rootstock}), translate(${select_plant_id_species},"_"," "))</t>
  </si>
  <si>
    <t>note_sci_scion</t>
  </si>
  <si>
    <t>Scion: ${calc_scientific_name}</t>
  </si>
  <si>
    <t>${calc_scientific_name_rootstock}</t>
  </si>
  <si>
    <t>note_sci_root</t>
  </si>
  <si>
    <t>Rootstock: ${calc_scientific_name_rootstock}</t>
  </si>
  <si>
    <t>calc_roostock_same_species</t>
  </si>
  <si>
    <t>if(${calc_scientific_name}=${calc_scientific_name_rootstock},'yes','no')</t>
  </si>
  <si>
    <t>note_root_scion_same</t>
  </si>
  <si>
    <t>Same?: ${calc_roostock_same_species}
Select Same?: ${select_rootstock_same_species}</t>
  </si>
  <si>
    <t>select_rootstock_same_species</t>
  </si>
  <si>
    <t>${calc_roostock_same_species}</t>
  </si>
  <si>
    <t>q_graft_rootstock_same_species.mp3</t>
  </si>
  <si>
    <t>Le porte-greffe est-il de la même espèce ?</t>
  </si>
  <si>
    <t>select_rootstock_species</t>
  </si>
  <si>
    <t>Which species is the rootstock?</t>
  </si>
  <si>
    <t>${select_rootstock_same_species}='no'</t>
  </si>
  <si>
    <t>if(${calc_plant_id_rootstock}!="", pulldata('Import', 'Scientific_Name', 'Tree_ID', ${calc_plant_id_rootstock}),'')</t>
  </si>
  <si>
    <t>De quelle espèce est le porte-greffe ?</t>
  </si>
  <si>
    <t>select_graft_qty_known_rootstock_1</t>
  </si>
  <si>
    <t>Grafting more than 1 scion?</t>
  </si>
  <si>
    <t>calc_default_graft_known_rootstock</t>
  </si>
  <si>
    <t>if(${select_graft_qty_known_rootstock_1}='no',1,'')</t>
  </si>
  <si>
    <t>graft_qty_known_rootstock</t>
  </si>
  <si>
    <t>How many scions are you grafting on known rootstock?</t>
  </si>
  <si>
    <t>${select_graft_qty_known_rootstock_1}="yes"</t>
  </si>
  <si>
    <t>${calc_default_graft_known_rootstock}</t>
  </si>
  <si>
    <t>Combien de greffons greffez-vous sur un porte-greffe connu ?</t>
  </si>
  <si>
    <t>select_multiple container_type</t>
  </si>
  <si>
    <t>select_multiple_rootstock_containers</t>
  </si>
  <si>
    <t>${select_rootstock_unknown}='yes' or 
contains(${calc_preferred_propagation_plant_id}, 'cutting') or
contains(${calc_preferred_propagation_plant_id}, 'seed') or
contains(${calc_preferred_propagation_plant_id}, 'tuber') or
contains(${calc_preferred_propagation_plant_id}, 'rhizome') or
contains(${calc_preferred_propagation_plant_id}, 'sucker')</t>
  </si>
  <si>
    <t>columns-3 no-buttons</t>
  </si>
  <si>
    <t>q_graft_rootstock_which_containers.mp3</t>
  </si>
  <si>
    <t>Dans quels recipients se trouve le porte-greffe ?</t>
  </si>
  <si>
    <t>container_other_type</t>
  </si>
  <si>
    <t>Specify what OTHER container it is in:</t>
  </si>
  <si>
    <t>${select_multiple_rootstock_containers} = 'container_type_other'</t>
  </si>
  <si>
    <t>Précisez dans quel conteneur il se trouve :</t>
  </si>
  <si>
    <t>graft_qty_10l_bucket</t>
  </si>
  <si>
    <t>selected(${select_multiple_rootstock_containers}, '10l_bucket')</t>
  </si>
  <si>
    <t>q_graft_rootstock_qty_10L.mp3</t>
  </si>
  <si>
    <t>Combien de porte-greffe greffé dedans les 10L Seau?</t>
  </si>
  <si>
    <t>#📷 ✂️ 🌿 ➡️ 🪣 10L</t>
  </si>
  <si>
    <t>📷 ✂️ 🌿 ➡️ 🪣 10L</t>
  </si>
  <si>
    <t>graft_qty_15l_bucket</t>
  </si>
  <si>
    <t>selected(${select_multiple_rootstock_containers}, '15l_bucket')</t>
  </si>
  <si>
    <t>q_graft_rootstock_qty_15L.mp3</t>
  </si>
  <si>
    <t>Combien de porte-greffe greffé dedans les 15L Seau?</t>
  </si>
  <si>
    <t>#📷 ✂️ 🌿 ➡️ 🪣 15L</t>
  </si>
  <si>
    <t>📷 ✂️ 🌿 ➡️ 🪣 15L</t>
  </si>
  <si>
    <t>graft_qty_20l_bucket</t>
  </si>
  <si>
    <t>selected(${select_multiple_rootstock_containers}, '20l_bucket')</t>
  </si>
  <si>
    <t>q_graft_rootstock_qty_20L.mp3</t>
  </si>
  <si>
    <t>Combien de porte-greffe greffé dedans les 20L Seau?</t>
  </si>
  <si>
    <t>#📷 ✂️ 🌿 ➡️ 🪣 20L</t>
  </si>
  <si>
    <t>📷 ✂️ 🌿 ➡️ 🪣 20L</t>
  </si>
  <si>
    <t>graft_qty_25l_bucket</t>
  </si>
  <si>
    <t>selected(${select_multiple_rootstock_containers}, '25l_bucket')</t>
  </si>
  <si>
    <t>q_graft_rootstock_qty_25L.mp3</t>
  </si>
  <si>
    <t>Combien de porte-greffe greffé dedans les 25L Seau?</t>
  </si>
  <si>
    <t>#📷 ✂️ 🌿 ➡️ 🪣 25L</t>
  </si>
  <si>
    <t>📷 ✂️ 🌿 ➡️ 🪣 25L</t>
  </si>
  <si>
    <t>graft_qty_sac_long</t>
  </si>
  <si>
    <t>selected(${select_multiple_rootstock_containers}, 'sac_long')</t>
  </si>
  <si>
    <t>q_graft_rootstock_qty_sac_long.mp3</t>
  </si>
  <si>
    <t>Combien de porte-greffe greffé dedans les Sac long?</t>
  </si>
  <si>
    <t>#📷 ✂️ 🌿 ➡️ ⬛️</t>
  </si>
  <si>
    <t>📷 ✂️ 🌿 ➡️  ⬛️</t>
  </si>
  <si>
    <t>graft_qty_sac_small</t>
  </si>
  <si>
    <t>selected(${select_multiple_rootstock_containers}, 'sac_small')</t>
  </si>
  <si>
    <t>q_graft_rootstock_qty_sac_small.mp3</t>
  </si>
  <si>
    <t>Combien de porte-greffe greffé dedans les Petit sac?</t>
  </si>
  <si>
    <t>#📷 ✂️ 🌿 ➡️ ▪</t>
  </si>
  <si>
    <t>📷 ✂️ 🌿 ➡️  ▪</t>
  </si>
  <si>
    <t>graft_qty_bowl_small</t>
  </si>
  <si>
    <t>selected(${select_multiple_rootstock_containers}, 'bowl_small')</t>
  </si>
  <si>
    <t>q_graft_rootstock_qty_bowl_small.mp3</t>
  </si>
  <si>
    <t>Combien de porte-greffe greffé dedans les Petit bol?</t>
  </si>
  <si>
    <t>#📷 ✂️ 🌿 ➡️ 🥣</t>
  </si>
  <si>
    <t>📷 ✂️ 🌿 ➡️  🥣</t>
  </si>
  <si>
    <t>graft_qty_bowl_large</t>
  </si>
  <si>
    <t>selected(${select_multiple_rootstock_containers}, 'bowl_large')</t>
  </si>
  <si>
    <t>q_graft_rootstock_qty_bowl_large.mp3</t>
  </si>
  <si>
    <t>Combien de porte-greffe greffé dedans les Grande bol?</t>
  </si>
  <si>
    <t>#📷 ✂️ 🌿 ➡️ 🍚</t>
  </si>
  <si>
    <t>📷 ✂️ 🌿 ➡️ 🍚</t>
  </si>
  <si>
    <t>graft_qty_container_type_other</t>
  </si>
  <si>
    <t>selected(${select_multiple_rootstock_containers}, 'container_type_other')</t>
  </si>
  <si>
    <t>q_graft_rootstock_qty_other.mp3</t>
  </si>
  <si>
    <t>Combien de porte-greffe greffé dedans les Autre?</t>
  </si>
  <si>
    <t>#📷 ✂️ 🌿 ➡️ 🛍️</t>
  </si>
  <si>
    <t>📷 ✂️ 🌿 ➡️ 🛍️</t>
  </si>
  <si>
    <t>calc_grafts_rootstock_total</t>
  </si>
  <si>
    <t>if(${select_rootstock_unknown}='no', ${graft_qty_known_rootstock}, coalesce(${graft_qty_10l_bucket}, 0) + coalesce(${graft_qty_15l_bucket}, 0) + coalesce(${graft_qty_20l_bucket}, 0) + coalesce(${graft_qty_25l_bucket}, 0) + coalesce(${graft_qty_sac_long}, 0) + coalesce(${graft_qty_sac_small}, 0) + coalesce(${graft_qty_bowl_small}, 0) + coalesce(${graft_qty_bowl_large}, 0) + coalesce(${graft_qty_container_type_other}, 0))</t>
  </si>
  <si>
    <t>note_grafts_rootstock_total</t>
  </si>
  <si>
    <t>${calc_grafts_rootstock_total} Grafted Rootstocks Total</t>
  </si>
  <si>
    <t>${calc_grafts_rootstock_total} porte-greffe greffés en totale</t>
  </si>
  <si>
    <t>#🔢 ✂️ 🌿</t>
  </si>
  <si>
    <t>🔢 ✂️ 🌿</t>
  </si>
  <si>
    <t>photo_graft_10l_bucket</t>
  </si>
  <si>
    <t>Take a picture of the 10L Bucket container(s).</t>
  </si>
  <si>
    <t>Prenez une photo du recipient: 10L Seau.</t>
  </si>
  <si>
    <t>#? 🔢 ✂️ 🌿 ➡️ 🪣 10L</t>
  </si>
  <si>
    <t>? 🔢 ✂️ 🌿 ➡️ 🪣 10L</t>
  </si>
  <si>
    <t>photo_graft_15l_bucket</t>
  </si>
  <si>
    <t>Take a picture of the 15L Bucket container(s).</t>
  </si>
  <si>
    <t>Prenez une photo du recipient: 15L Seau.</t>
  </si>
  <si>
    <t>#? 🔢 ✂️ 🌿 ➡️ 🪣 15L</t>
  </si>
  <si>
    <t>? 🔢 ✂️ 🌿 ➡️ 🪣 15L</t>
  </si>
  <si>
    <t>photo_graft_20l_bucket</t>
  </si>
  <si>
    <t>Take a picture of the 20L Bucket container(s).</t>
  </si>
  <si>
    <t>Prenez une photo du recipient: 20L Seau.</t>
  </si>
  <si>
    <t>#? 🔢 ✂️ 🌿 ➡️ 🪣 20L</t>
  </si>
  <si>
    <t>? 🔢 ✂️ 🌿 ➡️ 🪣 20L</t>
  </si>
  <si>
    <t>photo_graft_25l_bucket</t>
  </si>
  <si>
    <t>Take a picture of the 25L Bucket container(s).</t>
  </si>
  <si>
    <t>Prenez une photo du recipient: 25L Seau.</t>
  </si>
  <si>
    <t>#? 🔢 ✂️ 🌿 ➡️ 🪣 25L</t>
  </si>
  <si>
    <t>? 🔢 ✂️ 🌿 ➡️ 🪣 25L</t>
  </si>
  <si>
    <t>photo_graft_sac_long</t>
  </si>
  <si>
    <t>Take a picture of the Long Sac container(s).</t>
  </si>
  <si>
    <t>Prenez une photo du recipient: Sac long.</t>
  </si>
  <si>
    <t>#? 🔢 ✂️ 🌿 ➡️ ⬛️</t>
  </si>
  <si>
    <t>? 🔢 ✂️ 🌿 ➡️  ⬛️</t>
  </si>
  <si>
    <t>photo_graft_sac_small</t>
  </si>
  <si>
    <t>Take a picture of the Small Sac container(s).</t>
  </si>
  <si>
    <t>Prenez une photo du recipient: Petit sac.</t>
  </si>
  <si>
    <t>#? 🔢 ✂️ 🌿 ➡️ ▪</t>
  </si>
  <si>
    <t>? 🔢 ✂️ 🌿 ➡️  ▪</t>
  </si>
  <si>
    <t>photo_graft_bowl_small</t>
  </si>
  <si>
    <t>Take a picture of the Small Bowl container(s).</t>
  </si>
  <si>
    <t>Prenez une photo du recipient: Petit bol.</t>
  </si>
  <si>
    <t>#? 🔢 ✂️ 🌿 ➡️ 🥣</t>
  </si>
  <si>
    <t>? 🔢 ✂️ 🌿 ➡️  🥣</t>
  </si>
  <si>
    <t>photo_graft_bowl_large</t>
  </si>
  <si>
    <t>Take a picture of the Large Bowl container(s).</t>
  </si>
  <si>
    <t>Prenez une photo du recipient: Grande bol.</t>
  </si>
  <si>
    <t>#? 🔢 ✂️ 🌿 ➡️ 🍚</t>
  </si>
  <si>
    <t>? 🔢 ✂️ 🌿 ➡️ 🍚</t>
  </si>
  <si>
    <t>photo_graft_container_type_other</t>
  </si>
  <si>
    <t>Take a picture of the Other container(s).</t>
  </si>
  <si>
    <t>Prenez une photo du recipient: Autre.</t>
  </si>
  <si>
    <t>#? 🔢 ✂️ 🌿 ➡️ 🛍️</t>
  </si>
  <si>
    <t>? 🔢 ✂️ 🌿 ➡️ 🛍️</t>
  </si>
  <si>
    <t>repeat_graft</t>
  </si>
  <si>
    <t>Scion #</t>
  </si>
  <si>
    <t>${calc_grafts_rootstock_total}</t>
  </si>
  <si>
    <t>#✂️ 🌿 🔢 🏷️</t>
  </si>
  <si>
    <t>✂️ 🌿 🔢  🏷️</t>
  </si>
  <si>
    <t>barcode_graft</t>
  </si>
  <si>
    <t>regex(.,'^G[0-9]{3,5}$')</t>
  </si>
  <si>
    <t>q_graft_barcode_scan.mp3</t>
  </si>
  <si>
    <t>Scannez l'étiquette indiquant le greffon</t>
  </si>
  <si>
    <t>#? 👨🏿‍🌾 ↔️ 🧑🏼‍🌾 ✂️ 🌿</t>
  </si>
  <si>
    <t>? 👨🏿‍🌾 ↔️  🧑🏼‍🌾 ✂️ 🌿</t>
  </si>
  <si>
    <t>calc_graft_id</t>
  </si>
  <si>
    <t>concat(format-date(${calc1},'%y'),${barcode_graft})</t>
  </si>
  <si>
    <t>marking_text_graft</t>
  </si>
  <si>
    <t>Marking for Graft</t>
  </si>
  <si>
    <t>${barcode_graft}=''</t>
  </si>
  <si>
    <t>Marquage pour le greffon</t>
  </si>
  <si>
    <t>marking_graft</t>
  </si>
  <si>
    <t>if(string-length(${barcode_graft})&gt;0, ${barcode_graft}, ${marking_text_graft})</t>
  </si>
  <si>
    <t>note_graft</t>
  </si>
  <si>
    <t xml:space="preserve">${marking_graft} &lt;--Marking for Graft </t>
  </si>
  <si>
    <t>select_rooting_powder</t>
  </si>
  <si>
    <t>Did you use rooting powder?</t>
  </si>
  <si>
    <t xml:space="preserve">contains(${calc_preferred_propagation_plant_id}, 'cutting')
</t>
  </si>
  <si>
    <t>${repeat_graft}[position() = position(current()/..) - 1]/select_rooting_powder</t>
  </si>
  <si>
    <t>#?</t>
  </si>
  <si>
    <t xml:space="preserve">? </t>
  </si>
  <si>
    <t>select_one scion_readiness</t>
  </si>
  <si>
    <t>select_scion_readiness</t>
  </si>
  <si>
    <t xml:space="preserve">(contains(${calc_preferred_propagation_plant_id}, 'graft') 
 or contains(${calc_preferred_propagation_plant_id}, 'cutting')) 
and /data/group_grafting/date_grafted = today()
</t>
  </si>
  <si>
    <t>likert</t>
  </si>
  <si>
    <t>q_scion_really_ready.mp3</t>
  </si>
  <si>
    <t>#? ✂️ 🌿 🌹 ↔️ 🌸</t>
  </si>
  <si>
    <t>? ✂️ 🌿  🌹 ↔️  🌸</t>
  </si>
  <si>
    <t>c_test3</t>
  </si>
  <si>
    <t>c_test4</t>
  </si>
  <si>
    <t>/data/group_grafting/date_grafted</t>
  </si>
  <si>
    <t>note_test3</t>
  </si>
  <si>
    <t>today = ${c_test3}
date_grafted = ${c_test4}</t>
  </si>
  <si>
    <t>select_one graft_person</t>
  </si>
  <si>
    <t>select_graft_person</t>
  </si>
  <si>
    <t xml:space="preserve">contains(${calc_preferred_propagation_plant_id}, 'graft')
</t>
  </si>
  <si>
    <t>${repeat_graft}[position() = position(current()/..) - 1]/select_graft_person</t>
  </si>
  <si>
    <t>q_graft_who.mp3</t>
  </si>
  <si>
    <t>Qui fait le greffage?</t>
  </si>
  <si>
    <t>prev_graft_type</t>
  </si>
  <si>
    <t>if(position(..) &gt; 1, ${repeat_graft}[position() = position(current()/..) - 1]/select_graft_type, '')</t>
  </si>
  <si>
    <t>group_graft</t>
  </si>
  <si>
    <t>calc_prev_type</t>
  </si>
  <si>
    <t>if(position(current()/../..) &gt; 1, 
                /data/repeat_graft[position() = position(current()/../..) - 1]/group_graft/select_graft_type, 
                '')</t>
  </si>
  <si>
    <t>note_calc_prev_type</t>
  </si>
  <si>
    <t>${calc_prev_type}</t>
  </si>
  <si>
    <t>select_one graft_type</t>
  </si>
  <si>
    <t>select_graft_type</t>
  </si>
  <si>
    <t>columns-2 no-buttons</t>
  </si>
  <si>
    <t>q_graft_type.mp3</t>
  </si>
  <si>
    <t>Quel type de greffe avez-vous réalisé ?</t>
  </si>
  <si>
    <t>#? ✂️ 🌿 V ↔️ W ↔️ Y</t>
  </si>
  <si>
    <t>Quel type de greffage avez-vous réalisé ?</t>
  </si>
  <si>
    <t>? ✂️ 🌿 V ↔️  W ↔️  Y</t>
  </si>
  <si>
    <t>photo_scion</t>
  </si>
  <si>
    <t>/data/group_grafting/date_grafted = today()</t>
  </si>
  <si>
    <t>q_photo_graft_scion_tip.mp3</t>
  </si>
  <si>
    <t>Photo de la pointe de Scion</t>
  </si>
  <si>
    <t>#📷 ✂️ 🌿 ⬅️</t>
  </si>
  <si>
    <t>📷 ✂️ 🌿 ⬅️</t>
  </si>
  <si>
    <t>photo_cleft</t>
  </si>
  <si>
    <t>Take a photo of the Cleft "V" graft</t>
  </si>
  <si>
    <t>Prenez une photo de le Cleft "V" greffe</t>
  </si>
  <si>
    <t>#📷 ✂️ 🌿</t>
  </si>
  <si>
    <t xml:space="preserve">📷 ✂️ 🌿 </t>
  </si>
  <si>
    <t>photo_side_vaneer</t>
  </si>
  <si>
    <t>Take a photo of the Side Vaneer graft</t>
  </si>
  <si>
    <t>Prenez une photo de le Side Vaneer greffe</t>
  </si>
  <si>
    <t>photo_approach</t>
  </si>
  <si>
    <t>Take a photo of the Approach graft</t>
  </si>
  <si>
    <t>Prenez une photo de le Approach greffe</t>
  </si>
  <si>
    <t>photo_bark</t>
  </si>
  <si>
    <t>Take a photo of the Bark graft</t>
  </si>
  <si>
    <t>Prenez une photo de le Couronne greffe</t>
  </si>
  <si>
    <t>photo_t_bud</t>
  </si>
  <si>
    <t>Take a photo of the T Bud graft</t>
  </si>
  <si>
    <t>Prenez une photo de le T Bud greffe</t>
  </si>
  <si>
    <t>photo_chip_bud</t>
  </si>
  <si>
    <t>Take a photo of the Chip Bud graft</t>
  </si>
  <si>
    <t>Prenez une photo de le Chip Bud greffe</t>
  </si>
  <si>
    <t>photo_whip_and_tongue</t>
  </si>
  <si>
    <t>Take a photo of the Whip and Tongue graft</t>
  </si>
  <si>
    <t>Prenez une photo de le Greffe anglaise greffe</t>
  </si>
  <si>
    <t>photo_graft_union</t>
  </si>
  <si>
    <t>q_photo_graft_union.mp3</t>
  </si>
  <si>
    <t>Prenez une photo de le  greffe</t>
  </si>
  <si>
    <t>range</t>
  </si>
  <si>
    <t>graft_self_rating</t>
  </si>
  <si>
    <t>Rate how well you felt that graft was?</t>
  </si>
  <si>
    <t>rating</t>
  </si>
  <si>
    <t>start=1;end=5;step=1</t>
  </si>
  <si>
    <t>photo_graft_known_rootstock</t>
  </si>
  <si>
    <t>Take a photo of the grafted plant</t>
  </si>
  <si>
    <t>${select_survey_type} = 'grafting' and ${select_rootstock_unknown}='no'</t>
  </si>
  <si>
    <t>Prenez une photo de la plante greffé</t>
  </si>
  <si>
    <t>📷 ✂️ 🌿 🎋</t>
  </si>
  <si>
    <t>group_alive</t>
  </si>
  <si>
    <t>${plant_health}!=0</t>
  </si>
  <si>
    <t>plant_gps</t>
  </si>
  <si>
    <t>Plant GPS Location</t>
  </si>
  <si>
    <t>${select_survey_type} = 'quickly' and string-length(${calc_plant_id}) = 0 and string-length(${calc_barcode1}) = 0</t>
  </si>
  <si>
    <t>Location de Plante GPS</t>
  </si>
  <si>
    <t>tree_growth</t>
  </si>
  <si>
    <t>Is there new growth?</t>
  </si>
  <si>
    <t>${select_survey_type} = 'quickly' or ${select_survey_type} = 'monthly' or ${select_survey_type} = 'quarterly' or ${select_survey_type} = 'new'</t>
  </si>
  <si>
    <t>horizontal</t>
  </si>
  <si>
    <t>q_new_growth.mp3</t>
  </si>
  <si>
    <t>Y a-t-il une nouvelle croissance ?</t>
  </si>
  <si>
    <t>🪴➡️🌳❔</t>
  </si>
  <si>
    <t>select_multiple growth_kind</t>
  </si>
  <si>
    <t>obs_growth</t>
  </si>
  <si>
    <t>What kind of growth?</t>
  </si>
  <si>
    <t>${tree_growth} = 'yes'</t>
  </si>
  <si>
    <t>no-buttons columns-2</t>
  </si>
  <si>
    <t>q_new_growth_type.mp3</t>
  </si>
  <si>
    <t>Quel type de croissance ?</t>
  </si>
  <si>
    <t>🌳🪾🌸🌿🥭❔</t>
  </si>
  <si>
    <t>photo_budding</t>
  </si>
  <si>
    <t>Take a photo of the budding</t>
  </si>
  <si>
    <t>selected(${obs_growth}, 'budding')</t>
  </si>
  <si>
    <t>budding.jpg</t>
  </si>
  <si>
    <t>Prendre une photo du bourgeon</t>
  </si>
  <si>
    <t>📷 🪾➡️ 🌿</t>
  </si>
  <si>
    <t>select_one flowering_amount</t>
  </si>
  <si>
    <t>select_flowering_amount</t>
  </si>
  <si>
    <t>How many flowering?</t>
  </si>
  <si>
    <t>selected(${obs_growth}, 'flowering')</t>
  </si>
  <si>
    <t>q_flowers_howmany.mp3</t>
  </si>
  <si>
    <t>Combien de floraison ?</t>
  </si>
  <si>
    <t>🔢 🌸 🌼❔</t>
  </si>
  <si>
    <t>photo_flowering</t>
  </si>
  <si>
    <t>Take a photo of the flowering</t>
  </si>
  <si>
    <t>flowering.jpg</t>
  </si>
  <si>
    <t>Prendre une photo de la floraison</t>
  </si>
  <si>
    <t>📷 🌸 🌼</t>
  </si>
  <si>
    <t>fruit_mature</t>
  </si>
  <si>
    <t>Is the fruit mature yet?</t>
  </si>
  <si>
    <t>selected(${obs_growth}, 'fruiting')</t>
  </si>
  <si>
    <t>q_fruit_ripe.mp3</t>
  </si>
  <si>
    <t>Le fruit est-il encore mûr ?</t>
  </si>
  <si>
    <t>🍏 ↔️ 🍎</t>
  </si>
  <si>
    <t>photo_fruiting</t>
  </si>
  <si>
    <t>Take a photo of the fruit</t>
  </si>
  <si>
    <t>fruiting.jpg</t>
  </si>
  <si>
    <t>Prendre une photo du fruit</t>
  </si>
  <si>
    <t>📷 🥭🍊</t>
  </si>
  <si>
    <t>photo_new_branches</t>
  </si>
  <si>
    <t>Take a photo of the new branches</t>
  </si>
  <si>
    <t>selected(${obs_growth}, 'new_branches')</t>
  </si>
  <si>
    <t>new_branches.jpg</t>
  </si>
  <si>
    <t>Prendre une photo des nouvelles branches</t>
  </si>
  <si>
    <t>📷 🪾</t>
  </si>
  <si>
    <t>photo_new_leaves</t>
  </si>
  <si>
    <t>Take a photo of the new leaves</t>
  </si>
  <si>
    <t>selected(${obs_growth}, 'new_leaves')</t>
  </si>
  <si>
    <t>new_leaves.jpg</t>
  </si>
  <si>
    <t>Prendre une photo des nouvelles feuilles</t>
  </si>
  <si>
    <t>📷 🍂🍃🍁🌿</t>
  </si>
  <si>
    <t>select_one transplant_year_cashew</t>
  </si>
  <si>
    <t>select_transplant_year_cashew</t>
  </si>
  <si>
    <t>What year did the cashew get transplanted?</t>
  </si>
  <si>
    <t>${select_survey_type} = 'quarterly' and ${calc_select_plant_type} ='cashew'</t>
  </si>
  <si>
    <t>En quelle année la noix de cajou a-t-elle été transplantée ?</t>
  </si>
  <si>
    <t>group_transplanted</t>
  </si>
  <si>
    <t>${select_survey_type} = 'new'</t>
  </si>
  <si>
    <t>transplanted</t>
  </si>
  <si>
    <t>Transplanted in ground to permanent location?</t>
  </si>
  <si>
    <t>Transplanté dans le sol à un emplacement permanent ?</t>
  </si>
  <si>
    <t>🪴 🪏 ➡️  🌳 🪣❔</t>
  </si>
  <si>
    <t>group_transplanted_yes</t>
  </si>
  <si>
    <t>${transplanted} = 'yes' and ${calc_select_plant_type} !='cashew'</t>
  </si>
  <si>
    <t>code_hole_id</t>
  </si>
  <si>
    <t>.
.
.
.
.
.
.
.
.
.
Scan the Hole ID</t>
  </si>
  <si>
    <t>regex(.,'^#([0-9]{1,3})(A){0,1}$')</t>
  </si>
  <si>
    <t>📷  🕳️ 🔢 🏷️</t>
  </si>
  <si>
    <t>calc_imp_hole_vol</t>
  </si>
  <si>
    <t>pulldata('Farm_holes', 'group_hole_dimensions/calc_hole_volume', 'hole_id', substr(${code_hole_id}, 1, string-length(${code_hole_id})))</t>
  </si>
  <si>
    <t>calc_imp_hole_loc</t>
  </si>
  <si>
    <t>pulldata('Farm_holes', 'location', 'hole_id', substr(${code_hole_id}, 1, string-length(${code_hole_id})))</t>
  </si>
  <si>
    <t>calc_imp_hole_lat</t>
  </si>
  <si>
    <t>pulldata('Farm_holes', '_location_latitude', 'hole_id', substr(${code_hole_id}, 1, string-length(${code_hole_id})))</t>
  </si>
  <si>
    <t>calc_imp_hole_long</t>
  </si>
  <si>
    <t>pulldata('Farm_holes', '_location_longitude', 'hole_id', substr(${code_hole_id}, 1, string-length(${code_hole_id})))</t>
  </si>
  <si>
    <t>calc_imp_hole_alt</t>
  </si>
  <si>
    <t>pulldata('Farm_holes', '_location_altitude', 'hole_id', substr(${code_hole_id}, 1, string-length(${code_hole_id})))</t>
  </si>
  <si>
    <t>calc_imp_hole_precision</t>
  </si>
  <si>
    <t>pulldata('Farm_holes', '_location_precision', 'hole_id', substr(${code_hole_id}, 1, string-length(${code_hole_id})))</t>
  </si>
  <si>
    <t>note_imported_location</t>
  </si>
  <si>
    <t>${calc_imp_hole_loc}#
LAT: ${calc_imp_hole_lat}#
LONG: ${calc_imp_hole_long}#
ALT:${calc_imp_hole_alt}#
Prec${calc_imp_hole_precision}#</t>
  </si>
  <si>
    <t>decimal</t>
  </si>
  <si>
    <t>wb_count</t>
  </si>
  <si>
    <t>How many WBs of soil were put into hole?</t>
  </si>
  <si>
    <t>vol_est_wb_65</t>
  </si>
  <si>
    <t>round(65 * ${wb_count},0)</t>
  </si>
  <si>
    <t>vol_est_wb_75</t>
  </si>
  <si>
    <t>round(75 * ${wb_count},0)</t>
  </si>
  <si>
    <t>vol_est_wb_85</t>
  </si>
  <si>
    <t>round(85 * ${wb_count},0)</t>
  </si>
  <si>
    <t>vol_est_wb_per_65</t>
  </si>
  <si>
    <t>round(100 * ${vol_est_wb_65} div ${calc_imp_hole_vol},0)</t>
  </si>
  <si>
    <t>vol_est_wb_per_75</t>
  </si>
  <si>
    <t>round(100 * ${vol_est_wb_75} div ${calc_imp_hole_vol},0)</t>
  </si>
  <si>
    <t>vol_est_wb_per_85</t>
  </si>
  <si>
    <t>round(100 * ${vol_est_wb_85} div ${calc_imp_hole_vol},0)</t>
  </si>
  <si>
    <t>note_calc_imp_hole_vol</t>
  </si>
  <si>
    <t>${calc_imp_hole_vol} Litres of imported volume
65L - ${vol_est_wb_65}L - ${vol_est_wb_per_65}%
75L - ${vol_est_wb_75}L - ${vol_est_wb_per_75}%
85L - ${vol_est_wb_85}L - ${vol_est_wb_per_85}%</t>
  </si>
  <si>
    <t>location</t>
  </si>
  <si>
    <t>Please record where the plant has been planted in the ground</t>
  </si>
  <si>
    <t>${transplanted} = 'yes' and ${calc_select_plant_type} !='cashew' and ${code_hole_id}=""</t>
  </si>
  <si>
    <t>Veuillez noter où la plante a été plantée dans le sol</t>
  </si>
  <si>
    <t>🧭 🪴 🪏 ➡️   🌳 🪣</t>
  </si>
  <si>
    <t>select_one nursery</t>
  </si>
  <si>
    <t>select_nursery</t>
  </si>
  <si>
    <t xml:space="preserve">Where is it currently located? </t>
  </si>
  <si>
    <t>${transplanted} = 'no'</t>
  </si>
  <si>
    <t>nursery_creek</t>
  </si>
  <si>
    <t>Où se situe-t-il actuellement ?</t>
  </si>
  <si>
    <t>string</t>
  </si>
  <si>
    <t>string_nursey_other</t>
  </si>
  <si>
    <t>Please explain where</t>
  </si>
  <si>
    <t>${select_nursery} = 'nursery_other'</t>
  </si>
  <si>
    <t>Veuillez expliquer où</t>
  </si>
  <si>
    <t>nursery_location</t>
  </si>
  <si>
    <t>If necessary, put GPS point in for where plant is currently stored</t>
  </si>
  <si>
    <t>Si nécessaire, indiquez le point GPS de l'endroit où la plante est actuellement stockée</t>
  </si>
  <si>
    <t>🧭 🪴🪴🪴🪴</t>
  </si>
  <si>
    <t>date_transplant</t>
  </si>
  <si>
    <t>Month Transplant Planted (Approximate)</t>
  </si>
  <si>
    <t>month-year</t>
  </si>
  <si>
    <t>2024-05-15</t>
  </si>
  <si>
    <t>Date Mois Transplantation Plantée (Approximative)</t>
  </si>
  <si>
    <t>date_transplant_day</t>
  </si>
  <si>
    <t>Day Transplant</t>
  </si>
  <si>
    <t>calc_now</t>
  </si>
  <si>
    <t>format-date(now(), '%H:%M')</t>
  </si>
  <si>
    <t>current_time</t>
  </si>
  <si>
    <t>${calc_now}</t>
  </si>
  <si>
    <t>today()&gt;today()</t>
  </si>
  <si>
    <t>time</t>
  </si>
  <si>
    <t>time_transplant</t>
  </si>
  <si>
    <t>Time of day during transplant (Approximate)</t>
  </si>
  <si>
    <t>17:00:00.000Z</t>
  </si>
  <si>
    <t>Heure de la journée pendant la transplantation (approximative)</t>
  </si>
  <si>
    <t>group_hole_dimensions</t>
  </si>
  <si>
    <t>${code_hole_id}=""</t>
  </si>
  <si>
    <t>select_one hole_type</t>
  </si>
  <si>
    <t>select_hole_type</t>
  </si>
  <si>
    <t>Select Hole Type:</t>
  </si>
  <si>
    <t>hole_big</t>
  </si>
  <si>
    <t>Sélectionnez le type de trou :</t>
  </si>
  <si>
    <t>calc_hole_shape</t>
  </si>
  <si>
    <t xml:space="preserve">if(selected(${select_hole_type}, 'hole_big'), 'hole_circle', if(selected(${select_hole_type}, 'hole_med'), 'hole_cube', if(selected(${select_hole_type}, 'hole_long'), 'hole_circle',''))) </t>
  </si>
  <si>
    <t>group_hole_dimensions2</t>
  </si>
  <si>
    <t>Hole Dimensions:</t>
  </si>
  <si>
    <t>${select_hole_type} = 'hole_other'</t>
  </si>
  <si>
    <t>Dimensions du trou :</t>
  </si>
  <si>
    <t>select_one hole_shape</t>
  </si>
  <si>
    <t>select_hole_shape</t>
  </si>
  <si>
    <t>Select Hole Shape:</t>
  </si>
  <si>
    <t>${calc_hole_shape}</t>
  </si>
  <si>
    <t>${select_hole_type}</t>
  </si>
  <si>
    <t>Sélectionnez la forme du trou :</t>
  </si>
  <si>
    <t>calc_hole_diameter</t>
  </si>
  <si>
    <t>if(selected(${select_hole_type}, 'hole_big'), int(100), if(selected(${select_hole_type}, 'hole_long'), int(15),''))</t>
  </si>
  <si>
    <t>calc_hole_width</t>
  </si>
  <si>
    <t>if(selected(${select_hole_type}, 'hole_med'), int(30),'')</t>
  </si>
  <si>
    <t>calc_hole_length</t>
  </si>
  <si>
    <t>calc_hole_depth</t>
  </si>
  <si>
    <t xml:space="preserve">if(selected(${select_hole_type}, 'hole_big'), int(90), if(selected(${select_hole_type}, 'hole_med'), int(30), if(selected(${select_hole_type}, 'hole_long'), int(60),'')))  </t>
  </si>
  <si>
    <t>hole_diameter</t>
  </si>
  <si>
    <t>Hole Diameter (cm)</t>
  </si>
  <si>
    <t>${select_hole_shape} = 'hole_circle'</t>
  </si>
  <si>
    <t>${calc_hole_diameter}</t>
  </si>
  <si>
    <t>Diamètre du trou (cm)</t>
  </si>
  <si>
    <t>hole_width</t>
  </si>
  <si>
    <t>Width (cm)</t>
  </si>
  <si>
    <t>${select_hole_shape} = 'hole_cube'</t>
  </si>
  <si>
    <t>${calc_hole_width}</t>
  </si>
  <si>
    <t>Largeur (cm)</t>
  </si>
  <si>
    <t>hole_length</t>
  </si>
  <si>
    <t>Length (cm)</t>
  </si>
  <si>
    <t>${calc_hole_length}</t>
  </si>
  <si>
    <t>Longueur (cm)</t>
  </si>
  <si>
    <t>hole_depth</t>
  </si>
  <si>
    <t>Depth (cm)</t>
  </si>
  <si>
    <t>${calc_hole_depth}</t>
  </si>
  <si>
    <t>Profondeur (cm)</t>
  </si>
  <si>
    <t>calc_hole_volume</t>
  </si>
  <si>
    <t>(if(selected(${select_hole_shape}, 'hole_circle'), int(pi() * pow(${hole_diameter} div 2, 2) * ${hole_depth} div 1000), if(selected(${select_hole_shape}, 'hole_cube'), int((${hole_width} * ${hole_length} * ${hole_depth}) div 1000),'')))</t>
  </si>
  <si>
    <t>note_hole_volume</t>
  </si>
  <si>
    <t>Hole Volume is: ${calc_hole_volume} (L)</t>
  </si>
  <si>
    <t>Le volume du trou est : ${calc_hole_volume} (L)</t>
  </si>
  <si>
    <t>group_quarterly</t>
  </si>
  <si>
    <t>${select_survey_type} = 'quarterly' or ${select_survey_type} = 'new'</t>
  </si>
  <si>
    <t>video_quarterly</t>
  </si>
  <si>
    <t>Please take a video walking around the tree and and then get close up (MAX 15s)</t>
  </si>
  <si>
    <t>&lt; 20MB</t>
  </si>
  <si>
    <t>q_video_short.mp3</t>
  </si>
  <si>
    <t>Veuillez prendre une vidéo en marchant autour de l'arbre, puis rapprochez-vous (MAX 15s)</t>
  </si>
  <si>
    <t>plant_trunk_diameter</t>
  </si>
  <si>
    <t>Trunk Diameter (cm)</t>
  </si>
  <si>
    <t>round(${plant_circumference} div pi(),2)</t>
  </si>
  <si>
    <t>${plant_circumference}=""</t>
  </si>
  <si>
    <t>. &gt;= 0.5 and . &lt; 250</t>
  </si>
  <si>
    <t>min .5cm (decimal)</t>
  </si>
  <si>
    <t>${plant_circumference}</t>
  </si>
  <si>
    <t>waist.mp3</t>
  </si>
  <si>
    <t>Diamètre du tronc (cm)</t>
  </si>
  <si>
    <t>📏↔️ 🟠 🌳</t>
  </si>
  <si>
    <t>plant_circumference</t>
  </si>
  <si>
    <t>Trunk Circumference (cm)</t>
  </si>
  <si>
    <t>. &gt;= 10</t>
  </si>
  <si>
    <t>If diameter is too large to measure with caliper</t>
  </si>
  <si>
    <t>Circonférence du tronc (cm)</t>
  </si>
  <si>
    <t>📏🔁 🟠 🌳</t>
  </si>
  <si>
    <t>plant_crown_width</t>
  </si>
  <si>
    <t>Crown Width (cm)</t>
  </si>
  <si>
    <t>. &gt;= 5 and . &lt; 3000</t>
  </si>
  <si>
    <t>min 5cm (integer)</t>
  </si>
  <si>
    <t>wingspan.mp3</t>
  </si>
  <si>
    <t>Largeur de la couronne (cm)</t>
  </si>
  <si>
    <t>📏 🌳 ↔️</t>
  </si>
  <si>
    <t>plant_height</t>
  </si>
  <si>
    <t>Height (cm)</t>
  </si>
  <si>
    <t>. &gt;= 10 and . &lt; 1000</t>
  </si>
  <si>
    <t>min 10cm (integer)</t>
  </si>
  <si>
    <t>height.mp3</t>
  </si>
  <si>
    <t>Hauteur (cm)</t>
  </si>
  <si>
    <t xml:space="preserve">📏 🌳 ↕️ </t>
  </si>
  <si>
    <t>group_nursery</t>
  </si>
  <si>
    <t>${select_survey_type} = 'nursery'</t>
  </si>
  <si>
    <t>select_one nursery_type</t>
  </si>
  <si>
    <t>select_nursery_type</t>
  </si>
  <si>
    <t>Are you adding, changing, or removing from nursery?</t>
  </si>
  <si>
    <t>Est-ce que vous ajoutez, modifiez ou retirez des choses de la pépinière ?</t>
  </si>
  <si>
    <t>select_one initial</t>
  </si>
  <si>
    <t>select_initial</t>
  </si>
  <si>
    <t>Select Source</t>
  </si>
  <si>
    <t>nursery_type=${select_nursery_type}</t>
  </si>
  <si>
    <t>Sélectionnez la source</t>
  </si>
  <si>
    <t>select_one terminal</t>
  </si>
  <si>
    <t>select_terminal</t>
  </si>
  <si>
    <t>Select Destination</t>
  </si>
  <si>
    <t>nursery_type=${select_nursery_type} and initial=${select_initial}</t>
  </si>
  <si>
    <t>Sélectionnez la destination</t>
  </si>
  <si>
    <t>nursery_quantity</t>
  </si>
  <si>
    <t>Total Quantity</t>
  </si>
  <si>
    <t>Quantité totale</t>
  </si>
  <si>
    <t>seed_grams</t>
  </si>
  <si>
    <t>Enter the total mass of seeds planted (g)</t>
  </si>
  <si>
    <t>${select_initial} = 'seed'</t>
  </si>
  <si>
    <t>Entrez la masse totale de graines plantées (g)</t>
  </si>
  <si>
    <t>group_monthly</t>
  </si>
  <si>
    <t>select_one graft_problem</t>
  </si>
  <si>
    <t>select_graft_problem</t>
  </si>
  <si>
    <t>Select graft health</t>
  </si>
  <si>
    <t>${calc_propagated_by_plant_id} = 'graft'</t>
  </si>
  <si>
    <t>q_graft_health.mp3</t>
  </si>
  <si>
    <t>Sélectionnez la santé du greffon</t>
  </si>
  <si>
    <t>✂️🌿🩹, 😃 ↔️ 💀 ❔</t>
  </si>
  <si>
    <t>group_container</t>
  </si>
  <si>
    <t>${calc_plant_id} &gt;300 and ${code_hole_id}=""</t>
  </si>
  <si>
    <t>calc_select_container</t>
  </si>
  <si>
    <t>if(${calc_plant_id} &gt;8999, 'yes', 'no')</t>
  </si>
  <si>
    <t>select_container</t>
  </si>
  <si>
    <t>Is the plant in a conatiner?</t>
  </si>
  <si>
    <t>${calc_select_container}</t>
  </si>
  <si>
    <t>q_planted_or_container.mp3</t>
  </si>
  <si>
    <t>La plante est-elle dans un récipient ?</t>
  </si>
  <si>
    <t>🪴 ↔️ 🌳 , 🪣 ❔</t>
  </si>
  <si>
    <t>select_one container_type</t>
  </si>
  <si>
    <t>select_container_type</t>
  </si>
  <si>
    <t>What type of container?</t>
  </si>
  <si>
    <t>${select_container} = 'yes'</t>
  </si>
  <si>
    <t>q_container_type.mp3</t>
  </si>
  <si>
    <t>Quel type de récipient ?</t>
  </si>
  <si>
    <t>🪣 ↔️ 🪣❔</t>
  </si>
  <si>
    <t>Specify what container it is in:</t>
  </si>
  <si>
    <t>${select_container_type} = 'container_type_other'</t>
  </si>
  <si>
    <t>plant_action_needed</t>
  </si>
  <si>
    <t>Does anything need to be done to the plant?</t>
  </si>
  <si>
    <t>${username}='foodforestfun'</t>
  </si>
  <si>
    <t>${last-saved#plant_action}</t>
  </si>
  <si>
    <t>q_plant_action_needed.mp3</t>
  </si>
  <si>
    <t>Est-ce que il faut faire quelque chose à la plante ?</t>
  </si>
  <si>
    <t>select_multiple plant_actions</t>
  </si>
  <si>
    <t>select_plant_actions_needed</t>
  </si>
  <si>
    <t>What actions need to be done?</t>
  </si>
  <si>
    <t>${username}='foodforestfun' and ${plant_action_needed} = 'yes'</t>
  </si>
  <si>
    <t>${last-saved#select_plant_actions}</t>
  </si>
  <si>
    <t>q_select_plant_actions_needed.mp3</t>
  </si>
  <si>
    <t>Quelles actions a besoin d'être fait ?</t>
  </si>
  <si>
    <t>plant_action</t>
  </si>
  <si>
    <t>Did you do anything to the plant?</t>
  </si>
  <si>
    <t>q_plant_action_yes_no.mp3</t>
  </si>
  <si>
    <t>Avez-vous fait quelque chose à la plante ?</t>
  </si>
  <si>
    <t>group_plant_action</t>
  </si>
  <si>
    <t>${plant_action} = 'yes'</t>
  </si>
  <si>
    <t>select_plant_actions</t>
  </si>
  <si>
    <t>What did you do?</t>
  </si>
  <si>
    <t>${select_plant_actions_needed}</t>
  </si>
  <si>
    <t>q_plant_actions.mp3</t>
  </si>
  <si>
    <t>Qu'est-ce que tu as fait?</t>
  </si>
  <si>
    <t>sun_shade_rating</t>
  </si>
  <si>
    <t>How much sun/shade does it now have?</t>
  </si>
  <si>
    <t>selected(${select_plant_actions}, 'shade')</t>
  </si>
  <si>
    <t>vertical</t>
  </si>
  <si>
    <t>5 full sun
4 mostly sun, some shade/protection
3 mix of sun and shade
2 mostly shade, some sun
1 full shade</t>
  </si>
  <si>
    <t>start=1;end=5;step=0.5</t>
  </si>
  <si>
    <t>Combien de soleil/d'ombre y a-t-il maintenant ?</t>
  </si>
  <si>
    <t>☀️ ↔️  ☀️ 🌴  ↔️ 🌴 🌴 ❔</t>
  </si>
  <si>
    <t>select one fertilizer_type</t>
  </si>
  <si>
    <t>select_fertilizer_type</t>
  </si>
  <si>
    <t>What type of fertilizer did you use?</t>
  </si>
  <si>
    <t>selected(${select_plant_actions}, 'fertilizer')</t>
  </si>
  <si>
    <t>Quel type d'engrais avez-vous utilisé ?</t>
  </si>
  <si>
    <t>💩 ↔️ 💩 ❔</t>
  </si>
  <si>
    <t>fertilizer_other_type</t>
  </si>
  <si>
    <t>Specify what fertilizer was used:</t>
  </si>
  <si>
    <t>${select_fertilizer_type} = 'fertilizer_type_other'</t>
  </si>
  <si>
    <t>Précisez quel engrais a été utilisé :</t>
  </si>
  <si>
    <t>💩 🔤 ❔</t>
  </si>
  <si>
    <t>calc_fertilizer_quantity</t>
  </si>
  <si>
    <t>if(selected(${select_fertilizer_type}, 'osmocote_18_6_12'), if(selected(${select_container_type}, 'bucket_10l'), 'full_1_3_cup', if(selected(${select_container_type}, 'bucket_15l'), 'heaping_1_3_cup',if(selected(${select_container_type}, 'bucket_20l'), '2_x_nearly_full_1_3_cup', if(selected(${select_container_type}, 'bucket_25l'), '2_x_heaping_1_3_cup', '')))), '')</t>
  </si>
  <si>
    <t>select one fertilizer_quantity</t>
  </si>
  <si>
    <t>select_fertilizer_quantity</t>
  </si>
  <si>
    <t>How much fertilizer did you apply?</t>
  </si>
  <si>
    <t>${calc_fertilizer_quantity}</t>
  </si>
  <si>
    <t>${select_fertilizer_type}</t>
  </si>
  <si>
    <t>Quelle quantité d'engrais as-tu appliqué ?</t>
  </si>
  <si>
    <t>fertilizer_other_quantity</t>
  </si>
  <si>
    <t>${select_fertilizer_quantity} = 'fertilizer_quantity_other'</t>
  </si>
  <si>
    <t>shoots_quantity</t>
  </si>
  <si>
    <t>How many shoots does it have?</t>
  </si>
  <si>
    <t>selected(${select_plant_actions}, 'top_working')</t>
  </si>
  <si>
    <t>S'il y en a plus de 5, mettez simplement 5</t>
  </si>
  <si>
    <t>start=0;end=5;step=1</t>
  </si>
  <si>
    <t>Combien de pousses a-t-il ?</t>
  </si>
  <si>
    <t>note_measure_shoots</t>
  </si>
  <si>
    <t>Measure the diameter of shoots from largest to smallest</t>
  </si>
  <si>
    <t>Mesurez le diamètre des pousses du plus grand au plus petit</t>
  </si>
  <si>
    <t>shoots_diameter_1</t>
  </si>
  <si>
    <t>Diameter Shoot 1</t>
  </si>
  <si>
    <t>${shoots_quantity} &gt;0</t>
  </si>
  <si>
    <t>Diamètre porte greffe 1</t>
  </si>
  <si>
    <t>shoots_diameter_2</t>
  </si>
  <si>
    <t>Diameter Shoot 2</t>
  </si>
  <si>
    <t>${shoots_quantity} &gt;1</t>
  </si>
  <si>
    <t>Diamètre porte greffe 2</t>
  </si>
  <si>
    <t>shoots_diameter_3</t>
  </si>
  <si>
    <t>Diameter Shoot 3</t>
  </si>
  <si>
    <t>${shoots_quantity} &gt;2</t>
  </si>
  <si>
    <t>Diamètre porte greffe 3</t>
  </si>
  <si>
    <t>shoots_diameter_4</t>
  </si>
  <si>
    <t>Diameter Shoot 4</t>
  </si>
  <si>
    <t>${shoots_quantity} &gt;3</t>
  </si>
  <si>
    <t>Diamètre porte greffe 4</t>
  </si>
  <si>
    <t>shoots_diameter_5</t>
  </si>
  <si>
    <t>Diameter Shoot 5</t>
  </si>
  <si>
    <t>${shoots_quantity} &gt;4</t>
  </si>
  <si>
    <t>Diamètre porte greffe 5</t>
  </si>
  <si>
    <t>height_pruned</t>
  </si>
  <si>
    <t>Take the Height (cm) of the tree after being pruned</t>
  </si>
  <si>
    <t>selected(${select_plant_actions}, 'pruning')</t>
  </si>
  <si>
    <t>Prendre la hauteur (cm) de l'arbre après avoir été taillé</t>
  </si>
  <si>
    <t>photo_pruning</t>
  </si>
  <si>
    <t>Take a photo of the tree after pruning</t>
  </si>
  <si>
    <t>Prendre une photo de l'arbre après la taillage</t>
  </si>
  <si>
    <t>photo_shade</t>
  </si>
  <si>
    <t>Take a photo of the tree after shading</t>
  </si>
  <si>
    <t>Prendre une photo de l'arbre après l'ombrage</t>
  </si>
  <si>
    <t>photo_top_working</t>
  </si>
  <si>
    <t>Take a photo of the tree after top working</t>
  </si>
  <si>
    <t>Prendre une photo de l'arbre après couper pour le Surgreffage</t>
  </si>
  <si>
    <t>damage</t>
  </si>
  <si>
    <t>${plant_problem} = 'yes'</t>
  </si>
  <si>
    <t>select_multiple obs_problem</t>
  </si>
  <si>
    <t>problem_type</t>
  </si>
  <si>
    <t>What kind of problem?</t>
  </si>
  <si>
    <t>q_problems_type.mp3</t>
  </si>
  <si>
    <t>Quelle sorte de problème?</t>
  </si>
  <si>
    <t>‼️ ↔️ ‼️ ❔</t>
  </si>
  <si>
    <t>audio_problem_other</t>
  </si>
  <si>
    <t>Please explain</t>
  </si>
  <si>
    <t>selected(${problem_type}, 'problem_other')</t>
  </si>
  <si>
    <t>S'il vous plaît, expliquez</t>
  </si>
  <si>
    <t>calc_problem_cause_default</t>
  </si>
  <si>
    <t>if(selected(${problem_type},'burned'),'fire','')</t>
  </si>
  <si>
    <t>select_multiple problem_cause</t>
  </si>
  <si>
    <t>select_problem_cause</t>
  </si>
  <si>
    <t>Select the cause of the problem</t>
  </si>
  <si>
    <t>${calc_problem_cause_default}</t>
  </si>
  <si>
    <t>q_problem_cause.mp3</t>
  </si>
  <si>
    <t>Sélectionnez la cause du problème</t>
  </si>
  <si>
    <t>select_multiple animal_damage</t>
  </si>
  <si>
    <t>animal</t>
  </si>
  <si>
    <t>Which animal?</t>
  </si>
  <si>
    <t>selected(${select_problem_cause}, 'animal')</t>
  </si>
  <si>
    <t>Quel animal?</t>
  </si>
  <si>
    <t>🐄🐐🐜 ❔</t>
  </si>
  <si>
    <t>select_multiple animal_wild</t>
  </si>
  <si>
    <t>animal_wild</t>
  </si>
  <si>
    <t>Which wild animal?</t>
  </si>
  <si>
    <t>selected(${animal}, 'wild_animal')</t>
  </si>
  <si>
    <t>Quel animal sauvage ?</t>
  </si>
  <si>
    <t>🐾 🦌 ❔</t>
  </si>
  <si>
    <t>photo_damage_graft</t>
  </si>
  <si>
    <t>Take a photo of the graft problem</t>
  </si>
  <si>
    <t>selected(${problem_type}, 'damage_graft')</t>
  </si>
  <si>
    <t>Prendre une photo du problème de greffe</t>
  </si>
  <si>
    <t xml:space="preserve">📷 ‼️✂️ 🌿 </t>
  </si>
  <si>
    <t>photo_lost_leaves</t>
  </si>
  <si>
    <t>Take a photo of the Lost Leaves</t>
  </si>
  <si>
    <t>selected(${problem_type}, 'lost_leaves')</t>
  </si>
  <si>
    <t>Prenez une photo des feuilles perdues</t>
  </si>
  <si>
    <t>📷 ‼️ 🍃 🪾</t>
  </si>
  <si>
    <t>photo_broken</t>
  </si>
  <si>
    <t>Take a photo of the broken area</t>
  </si>
  <si>
    <t>selected(${problem_type}, 'broken')</t>
  </si>
  <si>
    <t>Prenez une photo de la zone cassée</t>
  </si>
  <si>
    <t>📷 ‼️💔 🪾</t>
  </si>
  <si>
    <t>photo_burned</t>
  </si>
  <si>
    <t>Take a photo of the burned area</t>
  </si>
  <si>
    <t>selected(${problem_type}, 'burned')</t>
  </si>
  <si>
    <t>Prendre une photo de la zone brûlée</t>
  </si>
  <si>
    <t>📷 ‼️🔥 🪾</t>
  </si>
  <si>
    <t>photo_insect</t>
  </si>
  <si>
    <t>Take a photo of the Insect (damage)</t>
  </si>
  <si>
    <t>selected(${problem_type}, 'insect')</t>
  </si>
  <si>
    <t>Prendre une photo des dégâts causés par l'insecte</t>
  </si>
  <si>
    <t>📷 ‼️🪳</t>
  </si>
  <si>
    <t>photo_diseased</t>
  </si>
  <si>
    <t>Take a photo of the diseased area</t>
  </si>
  <si>
    <t>selected(${problem_type}, 'diseased')</t>
  </si>
  <si>
    <t>Prendre une photo de la zone malade</t>
  </si>
  <si>
    <t>photo_rotten</t>
  </si>
  <si>
    <t>Take a photo of the rotten area</t>
  </si>
  <si>
    <t>selected(${problem_type}, 'rotten')</t>
  </si>
  <si>
    <t>Prenez une photo de la zone pourrie</t>
  </si>
  <si>
    <t>Take a photo of the bark damage</t>
  </si>
  <si>
    <t>selected(${problem_type}, 'bark')</t>
  </si>
  <si>
    <t>Prenez une photo de la zone d'Écorce</t>
  </si>
  <si>
    <t>photo_animal_damage</t>
  </si>
  <si>
    <t>Take a photo of the animal damage</t>
  </si>
  <si>
    <t>Prendre une photo des dégâts causés par l'animal</t>
  </si>
  <si>
    <t>📷 ‼️🦌</t>
  </si>
  <si>
    <t>photo_damage_other</t>
  </si>
  <si>
    <t>Take a photo of the other problem</t>
  </si>
  <si>
    <t>selected(${problem_type}, 'damage_other')</t>
  </si>
  <si>
    <t>Prendre une photo de l'autre problème</t>
  </si>
  <si>
    <t>group_propagation</t>
  </si>
  <si>
    <t>${select_survey_type} = 'quarterly' or ${select_survey_type} = 'budwood'</t>
  </si>
  <si>
    <t>group_propagation_graft</t>
  </si>
  <si>
    <t>contains(${calc_preferred_propagation_plant_id},'graft') and ${select_graft_problem} != 'graft_dead'</t>
  </si>
  <si>
    <t>note_pruning_budwood</t>
  </si>
  <si>
    <t>Be sure to count budwood AFTER pruning</t>
  </si>
  <si>
    <t>select_multiple budwood_readiness</t>
  </si>
  <si>
    <t>select_budwood_readiness</t>
  </si>
  <si>
    <t>Select the time-frame(s) when you need budwood</t>
  </si>
  <si>
    <t>${last-saved#select_budwood_readiness}</t>
  </si>
  <si>
    <t>budwood_qty_immediately</t>
  </si>
  <si>
    <t>How many scions are ready IMMEDIATELY?</t>
  </si>
  <si>
    <t>selected(${select_budwood_readiness}, 'immediately')</t>
  </si>
  <si>
    <t>🔢❔⏳❗️ ✂️🌿🌸👍🏿</t>
  </si>
  <si>
    <t>budwood_qty_this_week</t>
  </si>
  <si>
    <t>How many scions will be ready THIS WEEK?</t>
  </si>
  <si>
    <t>selected(${select_budwood_readiness}, 'this_week')</t>
  </si>
  <si>
    <t>🔢❔ ⏳📆 ✂️🌿🌸👍🏿</t>
  </si>
  <si>
    <t>budwood_qty_this_month</t>
  </si>
  <si>
    <t>How many scions will be ready THIS MONTH?</t>
  </si>
  <si>
    <t>selected(${select_budwood_readiness}, 'this_month')</t>
  </si>
  <si>
    <t>🔢❔ ⏳🗓️  ✂️🌿🌸👍🏿</t>
  </si>
  <si>
    <t>budwood_qty_this_year</t>
  </si>
  <si>
    <t>How many scions will be ready THIS YEAR?</t>
  </si>
  <si>
    <t>selected(${select_budwood_readiness}, 'this_year')</t>
  </si>
  <si>
    <t>Count all scions that are new growth this year</t>
  </si>
  <si>
    <t>🔢❔ ⏳🗓️🗓️ ✂️🌿🌸👍🏿</t>
  </si>
  <si>
    <t>budwood_potential_count</t>
  </si>
  <si>
    <t>How many POTENTIAL scions does the tree have? (even if they are not ready)</t>
  </si>
  <si>
    <t>${budwood_qty_this_year} * 1</t>
  </si>
  <si>
    <t>${budwood_qty_this_year}</t>
  </si>
  <si>
    <t>q_budwood_count_potential.mp3</t>
  </si>
  <si>
    <t>Combien de scions POTENTIELS l’arbre possède-t-il ? (même s'ils ne sont pas prêts)</t>
  </si>
  <si>
    <t>budwood_ready_count</t>
  </si>
  <si>
    <t>How many scions are ready?</t>
  </si>
  <si>
    <t>${budwood_qty_immediately} + ${budwood_qty_this_week}</t>
  </si>
  <si>
    <t>q_budwood_count_ready.mp3</t>
  </si>
  <si>
    <t>Combien de scions sont prêts ?</t>
  </si>
  <si>
    <t>🔢❔ ✂️🌿🌸👍🏿</t>
  </si>
  <si>
    <t>note_budwood_potential_count</t>
  </si>
  <si>
    <t>Display this year: ${budwood_potential_count}</t>
  </si>
  <si>
    <t>note_budwood_ready_count</t>
  </si>
  <si>
    <t>Display ${budwood_ready_count}</t>
  </si>
  <si>
    <t>cutting_potential_count</t>
  </si>
  <si>
    <t>How many potential cuttings does the tree have?</t>
  </si>
  <si>
    <t>contains(${calc_preferred_propagation_plant_id},'cutting')</t>
  </si>
  <si>
    <t>Combien de boutures potentielles l’arbre possède-t-il ?</t>
  </si>
  <si>
    <t>air_layer_potential_count</t>
  </si>
  <si>
    <t>How many potential air layers does the tree have?</t>
  </si>
  <si>
    <t>contains(${calc_preferred_propagation_plant_id},'air_layer')</t>
  </si>
  <si>
    <t>Combien de couches d'marcottages l’arbre possède-t-il ?</t>
  </si>
  <si>
    <t>group_survey_new</t>
  </si>
  <si>
    <t>${transplanted} = 'no' or ${date_transplant}&lt;date('2024-01-01')</t>
  </si>
  <si>
    <t>select_one propagation_method</t>
  </si>
  <si>
    <t>propagation</t>
  </si>
  <si>
    <t>How was this plant propagated?</t>
  </si>
  <si>
    <t>grafted_tree</t>
  </si>
  <si>
    <t>Comment cette plante s'est-elle propagée ?</t>
  </si>
  <si>
    <t>select_list_plants</t>
  </si>
  <si>
    <t>Select Common Name:</t>
  </si>
  <si>
    <t>Persea_americana</t>
  </si>
  <si>
    <t>type "Unknown" if you don't know</t>
  </si>
  <si>
    <t>Sélectionnez Nom commun :</t>
  </si>
  <si>
    <t>select_one list_plants_variety</t>
  </si>
  <si>
    <t>select_list_plants_variety</t>
  </si>
  <si>
    <t>Select Variety Name:</t>
  </si>
  <si>
    <t>plant=${select_list_plants}</t>
  </si>
  <si>
    <t>unknown</t>
  </si>
  <si>
    <t>Sélectionnez le nom de la variété :</t>
  </si>
  <si>
    <t>name_common_eng</t>
  </si>
  <si>
    <t>Common Name(s) (ex. Canistel, Egg Fruit, Yellow Sapote)</t>
  </si>
  <si>
    <t>${select_list_plants} = 'name_unknown'</t>
  </si>
  <si>
    <t>Nom(s) commun(s) (ex. Canistel, Oeuf Fruit, Sapote Jaune)</t>
  </si>
  <si>
    <t>name_scientific</t>
  </si>
  <si>
    <t>Scientific Name (ex. inga edulis)</t>
  </si>
  <si>
    <t>Nom scientifique (ex. inga edulis)</t>
  </si>
  <si>
    <t>variety_new</t>
  </si>
  <si>
    <t>New/Unknown Variety Name</t>
  </si>
  <si>
    <t>Nom de variété nouveau/inconnu</t>
  </si>
  <si>
    <t>select_one list_sources</t>
  </si>
  <si>
    <t>select_list_sources</t>
  </si>
  <si>
    <t>Where did this originally come from? (Provide vendor and geographic location if known)</t>
  </si>
  <si>
    <t>lara_farms</t>
  </si>
  <si>
    <t>D'où cela vient-il à l'origine ? (Indiquez le fournisseur et l'emplacement géographique si vous le connaissez)</t>
  </si>
  <si>
    <t>source</t>
  </si>
  <si>
    <t>${select_list_sources} = 'source_other'</t>
  </si>
  <si>
    <t>date_obtained</t>
  </si>
  <si>
    <t>Date originally obtained?</t>
  </si>
  <si>
    <t>Date d'obtention initiale ?</t>
  </si>
  <si>
    <t>date_seed</t>
  </si>
  <si>
    <t>Date Seed/Cutting/Rootstock Planted (Approximate)</t>
  </si>
  <si>
    <t>Date de plantation des semences/boutures/porte-greffes (approximative)</t>
  </si>
  <si>
    <t>Graft Date (Approximate)</t>
  </si>
  <si>
    <t>${propagation} = 'grafted_tree'</t>
  </si>
  <si>
    <t>Date de greffe (approximative)</t>
  </si>
  <si>
    <t>germination_percentage</t>
  </si>
  <si>
    <t>Percent Germination</t>
  </si>
  <si>
    <t>${propagation} = 'seed'</t>
  </si>
  <si>
    <t>. &gt;= 0 and . &lt;= 100</t>
  </si>
  <si>
    <t>Value will be 0-100</t>
  </si>
  <si>
    <t>Pourcentage de germination</t>
  </si>
  <si>
    <t>group_harvest</t>
  </si>
  <si>
    <t>${select_survey_type} = 'harvest'</t>
  </si>
  <si>
    <t>date_harvest</t>
  </si>
  <si>
    <t>When was this harvested?</t>
  </si>
  <si>
    <t>q_harvest_when.mp3</t>
  </si>
  <si>
    <t>Quand cela a-t-il été récolté ?</t>
  </si>
  <si>
    <t>when?</t>
  </si>
  <si>
    <t>📅❓🌾</t>
  </si>
  <si>
    <t>select_one yes_no_maybe</t>
  </si>
  <si>
    <t>select_graft_yes_no_maybe</t>
  </si>
  <si>
    <t>Is the harvest from the grafted part of the tree?</t>
  </si>
  <si>
    <t>fromgraft.mp3</t>
  </si>
  <si>
    <t>La récolte est-elle issue de la partie greffée de l’arbre ?</t>
  </si>
  <si>
    <t>grafted part of tree?</t>
  </si>
  <si>
    <t>🌾 ➡️ ✂️🌿🌳❓</t>
  </si>
  <si>
    <t>group_harvest_fruit</t>
  </si>
  <si>
    <t>photo_harvest</t>
  </si>
  <si>
    <t>Please take a photo of the harvest being weighed</t>
  </si>
  <si>
    <t>scalehangingbag.jpg</t>
  </si>
  <si>
    <t>Veuillez prendre une photo de la récolte</t>
  </si>
  <si>
    <t>photo of harvest</t>
  </si>
  <si>
    <t>📷⚖️🌾</t>
  </si>
  <si>
    <t>harvest_fruits</t>
  </si>
  <si>
    <t>How many fruits?</t>
  </si>
  <si>
    <t>If you don't know, just put in kgs in next question</t>
  </si>
  <si>
    <t>qtyfruit.jpg</t>
  </si>
  <si>
    <t>q_fruit_how_many.mp3</t>
  </si>
  <si>
    <t>Combien de fruits ?</t>
  </si>
  <si>
    <t>Fruits?</t>
  </si>
  <si>
    <t>🔢❔ 🥭</t>
  </si>
  <si>
    <t>harvest_kgs</t>
  </si>
  <si>
    <t>How many kilograms total (fruit and seeds)?</t>
  </si>
  <si>
    <t>kgdecimalscale.jpg</t>
  </si>
  <si>
    <t>q_kgs.mp3</t>
  </si>
  <si>
    <t>Combien de grams?</t>
  </si>
  <si>
    <t>Kilos?</t>
  </si>
  <si>
    <t>🔢❔ 🥭 ⚖️</t>
  </si>
  <si>
    <t>harvest_seed_count</t>
  </si>
  <si>
    <t>How many seeds does the harvest have?</t>
  </si>
  <si>
    <t>seeds.jpg</t>
  </si>
  <si>
    <t>q_seeds.mp3</t>
  </si>
  <si>
    <t>Combien de graines contient la récolte ?</t>
  </si>
  <si>
    <t>Graines?</t>
  </si>
  <si>
    <t>🔢❔ 🫘</t>
  </si>
  <si>
    <t>calc_avg_kgs_fruit</t>
  </si>
  <si>
    <t>round(${harvest_kgs} div ${harvest_fruits},4)</t>
  </si>
  <si>
    <t>calc_avg_g_fruit</t>
  </si>
  <si>
    <t>round((1000 * ${harvest_kgs}) div ${harvest_fruits},1)</t>
  </si>
  <si>
    <t>calc_avg_seeds_fruit</t>
  </si>
  <si>
    <t>round(${harvest_seed_count} div ${harvest_fruits},4)</t>
  </si>
  <si>
    <t>calc_avg_seeds_kg</t>
  </si>
  <si>
    <t>round(${harvest_seed_count} div ${harvest_kgs},1)</t>
  </si>
  <si>
    <t>note_summary_harvest_fruit</t>
  </si>
  <si>
    <t>#### AVG Fruit Stats:
##### ${calc_avg_g_fruit}g/fruit
##### ${calc_avg_seeds_fruit}seeds/fruit
##### ${calc_avg_seeds_kg}seeds/kg fruit</t>
  </si>
  <si>
    <t>#### AVG Fruit Stats:
##### ${calc_avg_g_fruit}g/fruit
##### ${calc_avg_seeds_fruit}graines/fruit
##### ${calc_avg_seeds_kg}graines/kg fruit</t>
  </si>
  <si>
    <t>select_one fruit_quality</t>
  </si>
  <si>
    <t>select_fruit_quality</t>
  </si>
  <si>
    <t>What quality is the fruit?</t>
  </si>
  <si>
    <t>q_fruit_quality.mp3</t>
  </si>
  <si>
    <t>Quelle est la qualité du fruit ?</t>
  </si>
  <si>
    <t>🥭 👍🏿 ↔️ 👎🏿❔</t>
  </si>
  <si>
    <t>group_harvest_cashew</t>
  </si>
  <si>
    <t>${calc_select_plant_type} ='cashew'</t>
  </si>
  <si>
    <t>photo_harvest_cashew</t>
  </si>
  <si>
    <t>Please take a picture of the harvested cashews</t>
  </si>
  <si>
    <t>Veuillez prendre une photo de la récolte des noix de cajou</t>
  </si>
  <si>
    <t>select_one cashew_type</t>
  </si>
  <si>
    <t>select_cashew_type</t>
  </si>
  <si>
    <t>Select Cashew Type</t>
  </si>
  <si>
    <t>Sélectionnez le type de cajou</t>
  </si>
  <si>
    <t>select_multiple harvest_cashew_mass</t>
  </si>
  <si>
    <t>select_harvest_cashew_mass</t>
  </si>
  <si>
    <t>Select 2 of the following to measure:</t>
  </si>
  <si>
    <t>if(count-selected(.)=1, .='mass_cashew_seeds',count-selected(.)=2)</t>
  </si>
  <si>
    <t>Sélectionnez 2 des éléments suivants pour mesurer :</t>
  </si>
  <si>
    <t>harvest_kgs_cashew_both</t>
  </si>
  <si>
    <t>How many kilograms of BOTH cashew apples with nuts?</t>
  </si>
  <si>
    <t>selected(${select_harvest_cashew_mass}, 'mass_cashew_both')</t>
  </si>
  <si>
    <t>q_harvest_g.mp3</t>
  </si>
  <si>
    <t>Combien de kilogrammes de TOUTE LES DEUX (pommes de cajou avec des noix)?</t>
  </si>
  <si>
    <t>harvest_cashew_apples_unit</t>
  </si>
  <si>
    <t>How many Cashew fruits?</t>
  </si>
  <si>
    <t>selected(${select_harvest_cashew_mass}, 'mass_cashew_both') or selected(${select_harvest_cashew_mass}, 'mass_cashew_apples')</t>
  </si>
  <si>
    <t>Combien de fruits de cajou ?</t>
  </si>
  <si>
    <t>harvest_kgs_cashew_apples</t>
  </si>
  <si>
    <t>How many kilograms of ONLY cashew apples?</t>
  </si>
  <si>
    <t>selected(${select_harvest_cashew_mass}, 'mass_cashew_apples')</t>
  </si>
  <si>
    <t>if(string-length(${harvest_kgs_cashew_both}) &gt; 0, . &lt; ${harvest_kgs_cashew_both}, if(${harvest_cashew_apples_unit} &gt; ${harvest_cashew_seeds_unit}, .&gt;${harvest_kgs_cashew_seeds},. &gt;0))</t>
  </si>
  <si>
    <t>Combien de kilogrammes de pommes de cajou UNIQUEMENT ?</t>
  </si>
  <si>
    <t>harvest_cashew_seeds_unit</t>
  </si>
  <si>
    <t>How many cashew seeds?</t>
  </si>
  <si>
    <t>selected(${select_harvest_cashew_mass}, 'mass_cashew_both') or selected(${select_harvest_cashew_mass}, 'mass_cashew_seeds')</t>
  </si>
  <si>
    <t>${harvest_cashew_apples_unit}</t>
  </si>
  <si>
    <t>q_cashew_seeds_how_many.mp3</t>
  </si>
  <si>
    <t>Combien de graines de cajou ?</t>
  </si>
  <si>
    <t>select_multiple fruit_cashew</t>
  </si>
  <si>
    <t>select_harvest_cashew_detailed</t>
  </si>
  <si>
    <t>Do you want to do detailed measurements of individual cashew apples?</t>
  </si>
  <si>
    <t>Voulez-vous effectuer des mesures détaillées de pommes de cajou individuelles ?</t>
  </si>
  <si>
    <t>harvest_cashew_apples_detailed_count</t>
  </si>
  <si>
    <t>How many cashew apples for detailed measurements?</t>
  </si>
  <si>
    <t>selected(${select_harvest_cashew_detailed}, 'fruit_cashew_apple')</t>
  </si>
  <si>
    <t>Combien de pommes de cajou pour des mesures détaillées ?</t>
  </si>
  <si>
    <t>repeat_cashew_apple</t>
  </si>
  <si>
    <t>${harvest_cashew_apples_detailed_count}</t>
  </si>
  <si>
    <t>harvest_cashew_apple_g</t>
  </si>
  <si>
    <t>How many g is the cashew apple?</t>
  </si>
  <si>
    <t>. &gt; 1 and . &lt;= 20</t>
  </si>
  <si>
    <t>Combien de g fait la pomme de cajou ?</t>
  </si>
  <si>
    <t>calc_harvest_cashew_apple_kg</t>
  </si>
  <si>
    <t>round(${harvest_cashew_apple_g} div 1000,4)</t>
  </si>
  <si>
    <t>harvest_cashew_apple_height</t>
  </si>
  <si>
    <t>Measure the long side of the cashew apple (cm)</t>
  </si>
  <si>
    <t>. &gt; 1 and . &lt;= 10</t>
  </si>
  <si>
    <t>Mesurez le côté long de la pomme de cajou (cm)</t>
  </si>
  <si>
    <t>harvest_cashew_apple_diameter</t>
  </si>
  <si>
    <t>Measure the largest diameter of the cashew apple (cm)</t>
  </si>
  <si>
    <t>Mesurez le plus grand diamètre de la pomme de cajou (cm)</t>
  </si>
  <si>
    <t>harvest_cashew_apple_brix</t>
  </si>
  <si>
    <t>Measure the BRIX %</t>
  </si>
  <si>
    <t>Mesurer le % BRIX</t>
  </si>
  <si>
    <t>harvest_kgs_cashew_seeds</t>
  </si>
  <si>
    <t>How many kilograms of ONLY cashew seeds?</t>
  </si>
  <si>
    <t>selected(${select_harvest_cashew_mass}, 'mass_cashew_seeds')</t>
  </si>
  <si>
    <t>if(string-length(${harvest_kgs_cashew_both}) &gt; 0, . &lt; ${harvest_kgs_cashew_both}, if(${harvest_cashew_apples_unit} &gt; ${harvest_cashew_seeds_unit}, . &lt; ${harvest_kgs_cashew_apples}, . &gt;0))</t>
  </si>
  <si>
    <t>q_cashew_seeds_how_many_g.mp3</t>
  </si>
  <si>
    <t>Combien de kilogrammes de graines de cajou UNIQUEMENT?</t>
  </si>
  <si>
    <t>calc_harvest_kgs_cashew_seeds</t>
  </si>
  <si>
    <t>if(selected(${select_harvest_cashew_mass}, 'mass_cashew_seeds'), ${harvest_kgs_cashew_seeds}, round(${harvest_kgs_cashew_both} - ${harvest_kgs_cashew_apples},4))</t>
  </si>
  <si>
    <t>group_harvest_cashew_seeds_detailed</t>
  </si>
  <si>
    <t>Change note values to calculate</t>
  </si>
  <si>
    <t>selected(${select_harvest_cashew_detailed}, 'fruit_cashew_seed')</t>
  </si>
  <si>
    <t>calc_harvest_rcn_h2o_percentage</t>
  </si>
  <si>
    <t>Water %</t>
  </si>
  <si>
    <t>calc_harvest_rcn_kernal_mass_percentage</t>
  </si>
  <si>
    <t>Kernal % (mass of kernal/ total mass of RCN)</t>
  </si>
  <si>
    <t>calc_harvest_rcn_good_kernal_percentage</t>
  </si>
  <si>
    <t>% Good Kernals</t>
  </si>
  <si>
    <t>calc_harvest_rcn_kor</t>
  </si>
  <si>
    <t>Outturn KOR</t>
  </si>
  <si>
    <t>note_calc_harvest_kgs_cashew_seeds</t>
  </si>
  <si>
    <t>${calc_harvest_kgs_cashew_seeds} kg of cashew seeds</t>
  </si>
  <si>
    <t>${calc_harvest_kgs_cashew_seeds} kg de graines de cajou</t>
  </si>
  <si>
    <t>calc_harvest_kgs_cashew_apples</t>
  </si>
  <si>
    <t>if(selected(${select_harvest_cashew_mass}, 'mass_cashew_apples'), ${harvest_kgs_cashew_apples}, round(${harvest_kgs_cashew_both} - ${harvest_kgs_cashew_seeds},4))</t>
  </si>
  <si>
    <t>note_calc_harvest_kgs_cashew_apples</t>
  </si>
  <si>
    <t>${calc_harvest_kgs_cashew_apples} kg of cashew apples</t>
  </si>
  <si>
    <t>${calc_harvest_kgs_cashew_apples} kg de pommes de cajou</t>
  </si>
  <si>
    <t>calc_avg_g_cashew_apple</t>
  </si>
  <si>
    <t>round((${calc_harvest_kgs_cashew_apples} div ${harvest_cashew_apples_unit}) * 1000,0)</t>
  </si>
  <si>
    <t>note_calc_avg_g_cashew_apple</t>
  </si>
  <si>
    <t>${calc_avg_g_cashew_apple}g AVG of cashew apples</t>
  </si>
  <si>
    <t>${calc_avg_g_cashew_apple}g MOYENNE de pommes de cajou</t>
  </si>
  <si>
    <t>calc_avg_g_cashew_seed</t>
  </si>
  <si>
    <t>round((${calc_harvest_kgs_cashew_seeds} div ${harvest_cashew_seeds_unit}) * 1000,1)</t>
  </si>
  <si>
    <t>note_calc_avg_g_cashew_seed</t>
  </si>
  <si>
    <t>${calc_avg_g_cashew_seed}g AVG of cashew seeds</t>
  </si>
  <si>
    <t>${calc_avg_g_cashew_seed}g MOYENNE de graines de cajou</t>
  </si>
  <si>
    <t>calc_cashew_seeds_per_kg</t>
  </si>
  <si>
    <t>round(1000 div ${calc_avg_g_cashew_seed},0)</t>
  </si>
  <si>
    <t>note_calc_cashew_seeds_per_kg</t>
  </si>
  <si>
    <t>${calc_cashew_seeds_per_kg} # nuts AVG/kg</t>
  </si>
  <si>
    <t>${calc_cashew_seeds_per_kg} # noix MOYENNE/kg</t>
  </si>
  <si>
    <t>note_summary_harvest_cashew_apples</t>
  </si>
  <si>
    <t>#### Cashew Apples:
##### ${calc_harvest_kgs_cashew_apples} kg cashew apples
##### ${calc_avg_g_cashew_apple}g AVG cashew apples</t>
  </si>
  <si>
    <t>#### Pommes de cajou :
##### ${calc_harvest_kgs_cashew_apples} kg de pommes de cajou
##### ${calc_avg_g_cashew_apple}g pommes de cajou AVG</t>
  </si>
  <si>
    <t>note_summary_harvest_cashew_seeds</t>
  </si>
  <si>
    <t>#### Cashew Nuts:
##### ${calc_harvest_kgs_cashew_seeds} kg cashew seeds
##### ${calc_avg_g_cashew_seed}g AVG of cashew seeds
##### ${calc_cashew_seeds_per_kg} nuts AVG/kg</t>
  </si>
  <si>
    <t>#### Noix de cajou:
##### ${calc_harvest_kgs_cashew_seeds} kg de graines de cajou
##### ${calc_avg_g_cashew_seed}g AVG de graines de cajou
##### ${calc_cashew_seeds_per_kg} noix AVG/kg</t>
  </si>
  <si>
    <t>group_water_use</t>
  </si>
  <si>
    <t>${select_survey_type} = 'water_use'</t>
  </si>
  <si>
    <t>select_one water_meters</t>
  </si>
  <si>
    <t>select_water_meter</t>
  </si>
  <si>
    <t>Which Forage?</t>
  </si>
  <si>
    <t>Quel compteur?</t>
  </si>
  <si>
    <t xml:space="preserve"> ❔💦</t>
  </si>
  <si>
    <t>water_meter_qty</t>
  </si>
  <si>
    <t>What number is on the meter?</t>
  </si>
  <si>
    <t>Quel est le numéro sur le compteur ?</t>
  </si>
  <si>
    <t>🔢❔📺</t>
  </si>
  <si>
    <t>calc_water_meter_L</t>
  </si>
  <si>
    <t>round(${water_meter_qty} * 1000,0)</t>
  </si>
  <si>
    <t>note_calc_water_meter_L</t>
  </si>
  <si>
    <t>${calc_water_meter_L} Litres</t>
  </si>
  <si>
    <t>photo_water_meter</t>
  </si>
  <si>
    <t>Take a picture of the number on the water meter</t>
  </si>
  <si>
    <t>Prenez une photo du numéro sur le compteur d'eau</t>
  </si>
  <si>
    <t>📷 🔢 📺</t>
  </si>
  <si>
    <t>select_one weather_type</t>
  </si>
  <si>
    <t>select_weather_type</t>
  </si>
  <si>
    <t>Select Weather Event Type:</t>
  </si>
  <si>
    <t>${select_survey_type} = 'weather'</t>
  </si>
  <si>
    <t>Sélectionnez le type d'événement météo :</t>
  </si>
  <si>
    <t xml:space="preserve"> ⛈️💨🔥 ❔</t>
  </si>
  <si>
    <t>group_rain</t>
  </si>
  <si>
    <t>${select_weather_type} = 'rain'</t>
  </si>
  <si>
    <t>date_rain</t>
  </si>
  <si>
    <t>What date did it rain?</t>
  </si>
  <si>
    <t>A quelle date a-t-il plu ?</t>
  </si>
  <si>
    <t>select_one weather_amount</t>
  </si>
  <si>
    <t>select_rain_amount</t>
  </si>
  <si>
    <t>What kind of rain was it?</t>
  </si>
  <si>
    <t>Quel genre de pluie était-ce?</t>
  </si>
  <si>
    <t>select_one rain_duration</t>
  </si>
  <si>
    <t>select_weather_duration</t>
  </si>
  <si>
    <t>How long did it rain for?</t>
  </si>
  <si>
    <t>Combien de temps a-t-il plu ?</t>
  </si>
  <si>
    <t>datetime</t>
  </si>
  <si>
    <t>time_rain_start</t>
  </si>
  <si>
    <t>Rain Start Time</t>
  </si>
  <si>
    <t>. &lt;= date(now())</t>
  </si>
  <si>
    <t>Heure de début de la pluie</t>
  </si>
  <si>
    <t>time_rain_stop</t>
  </si>
  <si>
    <t>Rain End Time</t>
  </si>
  <si>
    <t>. &lt;= date(now()) and . &gt; date(${time_rain_start})</t>
  </si>
  <si>
    <t>now()</t>
  </si>
  <si>
    <t>Heure de fin de pluie</t>
  </si>
  <si>
    <t>group_wind</t>
  </si>
  <si>
    <t>${select_weather_type} = 'wind'</t>
  </si>
  <si>
    <t>time_wind_start</t>
  </si>
  <si>
    <t>Wind Start Time</t>
  </si>
  <si>
    <t>Heure de début du vent</t>
  </si>
  <si>
    <t>select_wind_amount</t>
  </si>
  <si>
    <t>What kind of wind was it?</t>
  </si>
  <si>
    <t>Quel genre de vent était-ce?</t>
  </si>
  <si>
    <t>select_one wind_duration</t>
  </si>
  <si>
    <t>select_wind_duration</t>
  </si>
  <si>
    <t>How much time was it windy for?</t>
  </si>
  <si>
    <t>Combien de temps y a-t-il eu du vent ?</t>
  </si>
  <si>
    <t>photo_wind_damage</t>
  </si>
  <si>
    <t>Take a photo of the wind damage</t>
  </si>
  <si>
    <t>Prenez une photo des dégâts causés par le vent</t>
  </si>
  <si>
    <t>video_wind_damage</t>
  </si>
  <si>
    <t>Take a video of the wind damage</t>
  </si>
  <si>
    <t>Prenez une vidéo des dégâts causés par le vent</t>
  </si>
  <si>
    <t>group_fire</t>
  </si>
  <si>
    <t>${select_weather_type} = 'fire'</t>
  </si>
  <si>
    <t>time_fire_start</t>
  </si>
  <si>
    <t>Fire Start Time</t>
  </si>
  <si>
    <t>. &lt;= date(today()) and . &lt; date(${time_fire_stop})</t>
  </si>
  <si>
    <t>Heure de démarrage du feu</t>
  </si>
  <si>
    <t>time_fire_stop</t>
  </si>
  <si>
    <t>Fire End Time</t>
  </si>
  <si>
    <t>. &lt;= date(now()) and . &gt; date(${time_fire_start})</t>
  </si>
  <si>
    <t>Heure de fin d'incendie</t>
  </si>
  <si>
    <t>geoshape</t>
  </si>
  <si>
    <t>area_burned</t>
  </si>
  <si>
    <t>Please walk along the border record GPS points around the perimeter of the burned area.</t>
  </si>
  <si>
    <t>satellite</t>
  </si>
  <si>
    <t>Veuillez marcher le long de la frontière, enregistrer les points GPS autour du périmètre de la zone brûlée.</t>
  </si>
  <si>
    <t>select_fire_amount</t>
  </si>
  <si>
    <t>What kind of fire was it?</t>
  </si>
  <si>
    <t>De quel type de feu s'agissait-il ?</t>
  </si>
  <si>
    <t>select_fire_duration</t>
  </si>
  <si>
    <t>How much time was it fire for?</t>
  </si>
  <si>
    <t>Combien de temps le feu a-t-il duré ?</t>
  </si>
  <si>
    <t>photo_fire_damage</t>
  </si>
  <si>
    <t>Take a photo of the fire damage</t>
  </si>
  <si>
    <t>Prendre une photo des dégâts causés par le feu</t>
  </si>
  <si>
    <t>video_fire_damage</t>
  </si>
  <si>
    <t>Take a video of the fire damage</t>
  </si>
  <si>
    <t>Prenez une vidéo des dégâts causés par le feu</t>
  </si>
  <si>
    <t>select_fire_wind_amount</t>
  </si>
  <si>
    <t>What kind of wind was there?</t>
  </si>
  <si>
    <t>Quel genre de vent y avait-il ?</t>
  </si>
  <si>
    <t>group_compost</t>
  </si>
  <si>
    <t>Compost:</t>
  </si>
  <si>
    <t>${select_survey_type} = 'compost'</t>
  </si>
  <si>
    <t>yes_no_compost</t>
  </si>
  <si>
    <t>Is this a NEW compost Pile?</t>
  </si>
  <si>
    <t>Est-ce un NOUVEAU tas de compost ?</t>
  </si>
  <si>
    <t>group_compost_new</t>
  </si>
  <si>
    <t>${yes_no_compost} = 'yes'</t>
  </si>
  <si>
    <t>date_compost_start</t>
  </si>
  <si>
    <t>Date Compost Pile Started</t>
  </si>
  <si>
    <t>Date de début du tas de compost</t>
  </si>
  <si>
    <t>select_multiple compost_materials</t>
  </si>
  <si>
    <t>select_compost_materials</t>
  </si>
  <si>
    <t>Select the materials used:</t>
  </si>
  <si>
    <t>Sélectionnez les matériaux utilisés :</t>
  </si>
  <si>
    <t>compost_width</t>
  </si>
  <si>
    <t>Width (m)</t>
  </si>
  <si>
    <t>Largeur (m)</t>
  </si>
  <si>
    <t>compost_length</t>
  </si>
  <si>
    <t>Length (m)</t>
  </si>
  <si>
    <t>Longueur (m)</t>
  </si>
  <si>
    <t>compost_depth</t>
  </si>
  <si>
    <t>Height (m)</t>
  </si>
  <si>
    <t>Hauteur (m)</t>
  </si>
  <si>
    <t>calc_compost_volume</t>
  </si>
  <si>
    <t>int(${compost_width} * ${compost_length} * ${compost_depth} * 1000)</t>
  </si>
  <si>
    <t>note_compost_volume</t>
  </si>
  <si>
    <t>Compost Start Volume is: ${calc_compost_volume} (L)</t>
  </si>
  <si>
    <t>Le volume de démarrage du compost est : ${calc_compost_volume} (L)</t>
  </si>
  <si>
    <t>note_compost_volume_finished</t>
  </si>
  <si>
    <t>Estimated Finished Volume:</t>
  </si>
  <si>
    <t>Volume fini estimé :</t>
  </si>
  <si>
    <t>calc_compost_volume_25</t>
  </si>
  <si>
    <t>int(${calc_compost_volume} * (1- 0.25))</t>
  </si>
  <si>
    <t>note_compost_25</t>
  </si>
  <si>
    <t>25% Shrinkage = ${calc_compost_volume_25} (L)</t>
  </si>
  <si>
    <t>25 % de rétrécissement = ${calc_compost_volume_25} (L)</t>
  </si>
  <si>
    <t>calc_compost_volume_50</t>
  </si>
  <si>
    <t>int(${calc_compost_volume} * (1- 0.5))</t>
  </si>
  <si>
    <t>note_compost_50</t>
  </si>
  <si>
    <t>50% Shrinkage = ${calc_compost_volume_50} (L)</t>
  </si>
  <si>
    <t>50 % de rétrécissement = ${calc_compost_volume_50} (L)</t>
  </si>
  <si>
    <t>calc_compost_volume_66</t>
  </si>
  <si>
    <t>int(${calc_compost_volume} * (1- 0.66))</t>
  </si>
  <si>
    <t>note_compost_66</t>
  </si>
  <si>
    <t>66% Shrinkage = ${calc_compost_volume_66} (L)</t>
  </si>
  <si>
    <t>66 % de rétrécissement = ${calc_compost_volume_66} (L)</t>
  </si>
  <si>
    <t>calc_compost_volume_75</t>
  </si>
  <si>
    <t>int(${calc_compost_volume} * (1- 0.75))</t>
  </si>
  <si>
    <t>note_compost_75</t>
  </si>
  <si>
    <t>75% Shrinkage = ${calc_compost_volume_75} (L)</t>
  </si>
  <si>
    <t>75 % de rétrécissement = ${calc_compost_volume_75} (L)</t>
  </si>
  <si>
    <t>compost_poop_bags</t>
  </si>
  <si>
    <t>How many bags of chicken poop?</t>
  </si>
  <si>
    <t>Combien de sacs de caca de poulet ?</t>
  </si>
  <si>
    <t>calc_compost_volume_bags</t>
  </si>
  <si>
    <t>int(${compost_poop_bags} * 185)</t>
  </si>
  <si>
    <t>note_compost_volume_bags</t>
  </si>
  <si>
    <t>Estimated Finished Volume from # of Bags @ 185L/bag: ${calc_compost_volume_bags} (L)</t>
  </si>
  <si>
    <t>Volume fini estimé à partir du nombre de sacs à 185 L/sac : ${calc_compost_volume_bags} (L)</t>
  </si>
  <si>
    <t>calc_black_bags</t>
  </si>
  <si>
    <t>int(${calc_compost_volume_bags} * (25 div 45))</t>
  </si>
  <si>
    <t>note_black_bags</t>
  </si>
  <si>
    <t>${calc_black_bags} Small Black Bags</t>
  </si>
  <si>
    <t>${calc_black_bags} Petits sacs noirs</t>
  </si>
  <si>
    <t>calc_coyah_bags</t>
  </si>
  <si>
    <t>int(${calc_compost_volume_bags} * (25 div 17))</t>
  </si>
  <si>
    <t>note_coyah_bags</t>
  </si>
  <si>
    <t>${calc_coyah_bags} Coyah Bags</t>
  </si>
  <si>
    <t>${calc_coyah_bags} Sacs Coyah</t>
  </si>
  <si>
    <t>group_compost_old</t>
  </si>
  <si>
    <t>${yes_no_compost} = 'no'</t>
  </si>
  <si>
    <t>date_compost_turned</t>
  </si>
  <si>
    <t>When was the compost last turned?</t>
  </si>
  <si>
    <t>Quand le compost a-t-il été retourné pour la dernière fois ?</t>
  </si>
  <si>
    <t>yes_no_compost_water</t>
  </si>
  <si>
    <t>Was water added to the compost?</t>
  </si>
  <si>
    <t>De l'eau a-t-elle été ajoutée au compost ?</t>
  </si>
  <si>
    <t>select_one compost_done</t>
  </si>
  <si>
    <t>compost_readiness</t>
  </si>
  <si>
    <t>How Ready is the Compost?</t>
  </si>
  <si>
    <t>À quel point le compost est-il prêt ?</t>
  </si>
  <si>
    <t>geopint_compost</t>
  </si>
  <si>
    <t>Record Compost Location</t>
  </si>
  <si>
    <t>Enregistrer l'emplacement du compost</t>
  </si>
  <si>
    <t>photo_compost_1</t>
  </si>
  <si>
    <t>Compost Photo #1</t>
  </si>
  <si>
    <t>Compostez la photo #1</t>
  </si>
  <si>
    <t>photo_compost_2</t>
  </si>
  <si>
    <t>Compost Photo #2</t>
  </si>
  <si>
    <t>Compostez la photo #2</t>
  </si>
  <si>
    <t>photo_compost_3</t>
  </si>
  <si>
    <t>Compost Photo #3</t>
  </si>
  <si>
    <t>Compostez la photo #3</t>
  </si>
  <si>
    <t>photo_compost_4</t>
  </si>
  <si>
    <t>Compost Photo #4</t>
  </si>
  <si>
    <t>Compostage Photo #4</t>
  </si>
  <si>
    <t>photo_compost_5</t>
  </si>
  <si>
    <t>Compost Photo #5</t>
  </si>
  <si>
    <t>Compostez la photo #5</t>
  </si>
  <si>
    <t>group_grass_cutting</t>
  </si>
  <si>
    <t>${select_survey_type} = 'grass_cutting'</t>
  </si>
  <si>
    <t>select_grass_cutting_area</t>
  </si>
  <si>
    <t>Select area where grass was cut?</t>
  </si>
  <si>
    <t>Sélectionner la zone où l'herbe a été coupée ?</t>
  </si>
  <si>
    <t>date_grass_cutting_start</t>
  </si>
  <si>
    <t>When did grass cutting start?</t>
  </si>
  <si>
    <t>Quand a commencé la tonte de l’herbe ?</t>
  </si>
  <si>
    <t>date_grass_cutting_end</t>
  </si>
  <si>
    <t>When did grass cutting end?</t>
  </si>
  <si>
    <t>Quand la tonte de l’herbe a-t-elle pris fin ?</t>
  </si>
  <si>
    <t>grass_cutting_man_days</t>
  </si>
  <si>
    <t>How many man days worked?</t>
  </si>
  <si>
    <t>string-length(${date_grass_cutting_end}) &gt; 0</t>
  </si>
  <si>
    <t>Combien de jours-homme travaillés ?</t>
  </si>
  <si>
    <t>grass_cutting_GNF</t>
  </si>
  <si>
    <t>How much GNF was paid?</t>
  </si>
  <si>
    <t>thousands-sep</t>
  </si>
  <si>
    <t>Quel montant de GNF a été payé ?</t>
  </si>
  <si>
    <t>group_bourne</t>
  </si>
  <si>
    <t>${select_survey_type} = 'bourne'</t>
  </si>
  <si>
    <t>select_bourne_correct_location</t>
  </si>
  <si>
    <t>Is the bourne in its proper location?</t>
  </si>
  <si>
    <t>q_bourne_proper_location.mp3</t>
  </si>
  <si>
    <t>La borne est-elle au son bon endroit ?</t>
  </si>
  <si>
    <t>gps_bourne</t>
  </si>
  <si>
    <t>Take a GPS point at the bourne</t>
  </si>
  <si>
    <t>bourne_gps.mp3</t>
  </si>
  <si>
    <t>Prendre un point GPS à la borne</t>
  </si>
  <si>
    <t>photo_bourne</t>
  </si>
  <si>
    <t>Take a zoomed out photo of the bourne and its surroundings</t>
  </si>
  <si>
    <t>q_bourne_photo_zoomed_out.mp3</t>
  </si>
  <si>
    <t>Prenez une photo agrandie de la Bourne et de ses environs</t>
  </si>
  <si>
    <t>yes_no_detailed</t>
  </si>
  <si>
    <t>Additional Comments?</t>
  </si>
  <si>
    <t>q_commentary.mp3</t>
  </si>
  <si>
    <t>Commentaires supplémentaires ?</t>
  </si>
  <si>
    <t>➕ 🗒️</t>
  </si>
  <si>
    <t>group_comments</t>
  </si>
  <si>
    <t>${yes_no_detailed} = 'yes'</t>
  </si>
  <si>
    <t>audio_detailed</t>
  </si>
  <si>
    <t>Audio Comments 1</t>
  </si>
  <si>
    <t>commentary_audio.mp3</t>
  </si>
  <si>
    <t>Commentaires Audio 1</t>
  </si>
  <si>
    <t>🗒️ 🎤1</t>
  </si>
  <si>
    <t>audio_detailed2</t>
  </si>
  <si>
    <t>Photo Comments 2</t>
  </si>
  <si>
    <t>string-length(${audio_detailed})&gt;0</t>
  </si>
  <si>
    <t>commentary_photo.mp3</t>
  </si>
  <si>
    <t>Commentaires Audio 2</t>
  </si>
  <si>
    <t>🗒️ 🎤2</t>
  </si>
  <si>
    <t>audio_detailed3</t>
  </si>
  <si>
    <t>Photo Comments 3</t>
  </si>
  <si>
    <t>string-length(${audio_detailed2})&gt;0</t>
  </si>
  <si>
    <t>Commentaires Audio 3</t>
  </si>
  <si>
    <t>🗒️ 🎤3</t>
  </si>
  <si>
    <t>audio_detailed4</t>
  </si>
  <si>
    <t>Photo Comments 4</t>
  </si>
  <si>
    <t>string-length(${audio_detailed3})&gt;0</t>
  </si>
  <si>
    <t>Commentaires Audio 4</t>
  </si>
  <si>
    <t>🗒️ 🎤4</t>
  </si>
  <si>
    <t>audio_detailed5</t>
  </si>
  <si>
    <t>Photo Comments 5</t>
  </si>
  <si>
    <t>string-length(${audio_detailed4})&gt;0</t>
  </si>
  <si>
    <t>Commentaires Audio 5</t>
  </si>
  <si>
    <t>🗒️ 🎤5</t>
  </si>
  <si>
    <t>video_detailed</t>
  </si>
  <si>
    <t>Video Comments</t>
  </si>
  <si>
    <t>commentary_video.mp3</t>
  </si>
  <si>
    <t>Commentaires Vidéo</t>
  </si>
  <si>
    <t>🗒️ 📺</t>
  </si>
  <si>
    <t>photo_detailed</t>
  </si>
  <si>
    <t>Photo Comments 1</t>
  </si>
  <si>
    <t>Commentaires Photo 1</t>
  </si>
  <si>
    <t>🗒️ 📷 1</t>
  </si>
  <si>
    <t>photo_detailed2</t>
  </si>
  <si>
    <t>string-length(${photo_detailed})&gt;0</t>
  </si>
  <si>
    <t>Commentaires Photo 2</t>
  </si>
  <si>
    <t>🗒️ 📷 2</t>
  </si>
  <si>
    <t>photo_detailed3</t>
  </si>
  <si>
    <t>string-length(${photo_detailed2})&gt;0</t>
  </si>
  <si>
    <t>Commentaires Photo 3</t>
  </si>
  <si>
    <t>🗒️ 📷 3</t>
  </si>
  <si>
    <t>photo_detailed4</t>
  </si>
  <si>
    <t>string-length(${photo_detailed3})&gt;0</t>
  </si>
  <si>
    <t>Commentaires Photo 4</t>
  </si>
  <si>
    <t>🗒️ 📷 4</t>
  </si>
  <si>
    <t>photo_detailed5</t>
  </si>
  <si>
    <t>string-length(${photo_detailed4})&gt;0</t>
  </si>
  <si>
    <t>Commentaires Photo 5</t>
  </si>
  <si>
    <t>🗒️ 📷 5</t>
  </si>
  <si>
    <t>text_detailed</t>
  </si>
  <si>
    <t>Text Comments</t>
  </si>
  <si>
    <t>Commentaires Texte</t>
  </si>
  <si>
    <t>🗒️ 📝</t>
  </si>
  <si>
    <t>yes_no_flagged</t>
  </si>
  <si>
    <t>Flag this entry to check back later</t>
  </si>
  <si>
    <t>flag.mp3</t>
  </si>
  <si>
    <t>Marquez cette entrée pour revenir plus tard</t>
  </si>
  <si>
    <t>🚩🔁</t>
  </si>
  <si>
    <t>list_name</t>
  </si>
  <si>
    <t>label_fr</t>
  </si>
  <si>
    <t>scientific_name</t>
  </si>
  <si>
    <t>plant</t>
  </si>
  <si>
    <t>nursery_type</t>
  </si>
  <si>
    <t>initial</t>
  </si>
  <si>
    <t>list_plants</t>
  </si>
  <si>
    <t>filter</t>
  </si>
  <si>
    <t>ex1</t>
  </si>
  <si>
    <t>ex2</t>
  </si>
  <si>
    <t>ex3</t>
  </si>
  <si>
    <t>ex4</t>
  </si>
  <si>
    <t>ex5</t>
  </si>
  <si>
    <t>#</t>
  </si>
  <si>
    <t>language</t>
  </si>
  <si>
    <t>msu</t>
  </si>
  <si>
    <t>Konyanké</t>
  </si>
  <si>
    <t># 🗣️ MKU</t>
  </si>
  <si>
    <t>Phrase</t>
  </si>
  <si>
    <t>🗣️ MKU</t>
  </si>
  <si>
    <t>fr</t>
  </si>
  <si>
    <t>French</t>
  </si>
  <si>
    <t>Français</t>
  </si>
  <si>
    <t>#🇫🇷 🔤 FR</t>
  </si>
  <si>
    <t>🇫🇷</t>
  </si>
  <si>
    <t>🔤 FR</t>
  </si>
  <si>
    <t>eng</t>
  </si>
  <si>
    <t>English</t>
  </si>
  <si>
    <t>Anglais</t>
  </si>
  <si>
    <t>#🇬🇧 🔤 EN</t>
  </si>
  <si>
    <t>🇬🇧</t>
  </si>
  <si>
    <t>🔤 EN</t>
  </si>
  <si>
    <t>survey_type</t>
  </si>
  <si>
    <t>quickly</t>
  </si>
  <si>
    <t>Quickly (Photo) 📷</t>
  </si>
  <si>
    <t>Rapide</t>
  </si>
  <si>
    <t>#📷</t>
  </si>
  <si>
    <t>weekly.mp3</t>
  </si>
  <si>
    <t>📷</t>
  </si>
  <si>
    <t>monthly</t>
  </si>
  <si>
    <t>Monthly (Photo + Health + Actions)</t>
  </si>
  <si>
    <t>Mensuel</t>
  </si>
  <si>
    <t>#📷 🔎 👨🏿‍🌾</t>
  </si>
  <si>
    <t>monthly.mp3</t>
  </si>
  <si>
    <t xml:space="preserve">🔎 </t>
  </si>
  <si>
    <t>👨🏿‍🌾</t>
  </si>
  <si>
    <t>quarterly</t>
  </si>
  <si>
    <t>Quarterly (Photo + Health + Actions + Measurements)</t>
  </si>
  <si>
    <t>Trimestriel</t>
  </si>
  <si>
    <t>#📷 🔎 👨🏿‍🌾 📏</t>
  </si>
  <si>
    <t>quarterly.mp3</t>
  </si>
  <si>
    <t>📏</t>
  </si>
  <si>
    <t>harvest</t>
  </si>
  <si>
    <t>Harvest 🌾</t>
  </si>
  <si>
    <t>Récolte</t>
  </si>
  <si>
    <t>#🌾 🧺 🌽</t>
  </si>
  <si>
    <t>harvest.mp3</t>
  </si>
  <si>
    <t>🌾</t>
  </si>
  <si>
    <t>🧺</t>
  </si>
  <si>
    <t>🌽</t>
  </si>
  <si>
    <t>new</t>
  </si>
  <si>
    <t>New and Newly Transplanted</t>
  </si>
  <si>
    <t>Nouveau</t>
  </si>
  <si>
    <t>#🪏🪴</t>
  </si>
  <si>
    <t>new.mp3</t>
  </si>
  <si>
    <t>🪏🪴</t>
  </si>
  <si>
    <t>budwood</t>
  </si>
  <si>
    <t xml:space="preserve">Budwood </t>
  </si>
  <si>
    <t>Bois de bourgeon</t>
  </si>
  <si>
    <t>Greffon</t>
  </si>
  <si>
    <t>#🌿 🔢</t>
  </si>
  <si>
    <t>Budwood</t>
  </si>
  <si>
    <t>🌿</t>
  </si>
  <si>
    <t>🔢</t>
  </si>
  <si>
    <t>grafting</t>
  </si>
  <si>
    <t>Greffage</t>
  </si>
  <si>
    <t>#✂️ 🌿</t>
  </si>
  <si>
    <t>grafting.mp3</t>
  </si>
  <si>
    <t>✂️</t>
  </si>
  <si>
    <t>weather</t>
  </si>
  <si>
    <t>Weather</t>
  </si>
  <si>
    <t>Temps</t>
  </si>
  <si>
    <t>#⛅ 🌧️ ☀️</t>
  </si>
  <si>
    <t>⛅</t>
  </si>
  <si>
    <t>🌧️</t>
  </si>
  <si>
    <t>☀️</t>
  </si>
  <si>
    <t>compost</t>
  </si>
  <si>
    <t>Compost</t>
  </si>
  <si>
    <t>#🪏💩🌿</t>
  </si>
  <si>
    <t>compost.mp3</t>
  </si>
  <si>
    <t>🪏💩🌿</t>
  </si>
  <si>
    <t>nursery</t>
  </si>
  <si>
    <t>Nursery</t>
  </si>
  <si>
    <t>Pépinière</t>
  </si>
  <si>
    <t>#🪴</t>
  </si>
  <si>
    <t>🪴</t>
  </si>
  <si>
    <t>germination</t>
  </si>
  <si>
    <t>Germination</t>
  </si>
  <si>
    <t>#🌱</t>
  </si>
  <si>
    <t>🌱</t>
  </si>
  <si>
    <t>water_use</t>
  </si>
  <si>
    <t>Water Use</t>
  </si>
  <si>
    <t>Consomation d'eau</t>
  </si>
  <si>
    <t>#💧 💦 🚿</t>
  </si>
  <si>
    <t>💧</t>
  </si>
  <si>
    <t>💦</t>
  </si>
  <si>
    <t>🚿</t>
  </si>
  <si>
    <t>grass_cutting</t>
  </si>
  <si>
    <t>Grass Cutting</t>
  </si>
  <si>
    <t>Coupe d'herbe</t>
  </si>
  <si>
    <t>#✂️ ☘️</t>
  </si>
  <si>
    <t>☘️</t>
  </si>
  <si>
    <t>bourne</t>
  </si>
  <si>
    <t>Bourne</t>
  </si>
  <si>
    <t>#🪧</t>
  </si>
  <si>
    <t>r_bourne.mp3</t>
  </si>
  <si>
    <t>🪧</t>
  </si>
  <si>
    <t>germination_start_end</t>
  </si>
  <si>
    <t>germination_start</t>
  </si>
  <si>
    <t>Starting / Planting</t>
  </si>
  <si>
    <t>germination_end</t>
  </si>
  <si>
    <t>Germination Count</t>
  </si>
  <si>
    <t>weather_type</t>
  </si>
  <si>
    <t>rain</t>
  </si>
  <si>
    <t>Rain</t>
  </si>
  <si>
    <t>Pluie</t>
  </si>
  <si>
    <t>#🌧️ 🌦️</t>
  </si>
  <si>
    <t>🌦️</t>
  </si>
  <si>
    <t>wind</t>
  </si>
  <si>
    <t>Wind</t>
  </si>
  <si>
    <t>Vent</t>
  </si>
  <si>
    <t>#🌬️</t>
  </si>
  <si>
    <t>🌬️</t>
  </si>
  <si>
    <t>fire</t>
  </si>
  <si>
    <t>Fire</t>
  </si>
  <si>
    <t>Feu</t>
  </si>
  <si>
    <t>#🔥</t>
  </si>
  <si>
    <t>🔥</t>
  </si>
  <si>
    <t>plant_type</t>
  </si>
  <si>
    <t>cashew</t>
  </si>
  <si>
    <t>Cashew</t>
  </si>
  <si>
    <t>Anacardier</t>
  </si>
  <si>
    <t>#🥜</t>
  </si>
  <si>
    <t>🥜</t>
  </si>
  <si>
    <t>tree</t>
  </si>
  <si>
    <t>Tree</t>
  </si>
  <si>
    <t>Arbre</t>
  </si>
  <si>
    <t>#🌳 🌲</t>
  </si>
  <si>
    <t>tree.mp3</t>
  </si>
  <si>
    <t>🌳</t>
  </si>
  <si>
    <t>🌲</t>
  </si>
  <si>
    <t>perennial</t>
  </si>
  <si>
    <t>Perennial Plant</t>
  </si>
  <si>
    <t>Plante perennial</t>
  </si>
  <si>
    <t>#🫚</t>
  </si>
  <si>
    <t>perennial.mp3</t>
  </si>
  <si>
    <t>🫚</t>
  </si>
  <si>
    <t>annual</t>
  </si>
  <si>
    <t>Annual Plant</t>
  </si>
  <si>
    <t>Plante annuelle</t>
  </si>
  <si>
    <t>#🌶️ 🥒 🍆</t>
  </si>
  <si>
    <t>annual.mp3</t>
  </si>
  <si>
    <t>🌶️</t>
  </si>
  <si>
    <t>🥒</t>
  </si>
  <si>
    <t>🍆</t>
  </si>
  <si>
    <t>plant_other</t>
  </si>
  <si>
    <t>Other Plant</t>
  </si>
  <si>
    <t>Autre plante</t>
  </si>
  <si>
    <t>#🌿</t>
  </si>
  <si>
    <t>preferred_propagation</t>
  </si>
  <si>
    <t>graft</t>
  </si>
  <si>
    <t>Graft</t>
  </si>
  <si>
    <t>#✂️ 🌿 🪴</t>
  </si>
  <si>
    <t>cutting</t>
  </si>
  <si>
    <t>Cutting</t>
  </si>
  <si>
    <t>Bouturage</t>
  </si>
  <si>
    <t>#✂️ 🪾 🪴</t>
  </si>
  <si>
    <t>🪾</t>
  </si>
  <si>
    <t>air_layer</t>
  </si>
  <si>
    <t>Air Layer</t>
  </si>
  <si>
    <t>Marcottage</t>
  </si>
  <si>
    <t>#🎋 🩹</t>
  </si>
  <si>
    <t>🎋</t>
  </si>
  <si>
    <t>🩹</t>
  </si>
  <si>
    <t>seed</t>
  </si>
  <si>
    <t>Seed</t>
  </si>
  <si>
    <t>Grain</t>
  </si>
  <si>
    <t>hole_type</t>
  </si>
  <si>
    <t>Big Tree (1m dia x 70-100cm depth)</t>
  </si>
  <si>
    <t>Djiri Ba (1m dia x 70-100cm profond)</t>
  </si>
  <si>
    <t>hole_med</t>
  </si>
  <si>
    <t>Med Hole (30cm3)</t>
  </si>
  <si>
    <t>Trou Moyen (30cm3)</t>
  </si>
  <si>
    <t>hole_long</t>
  </si>
  <si>
    <t>Auger Hole (15cm dia x 60cm depth)</t>
  </si>
  <si>
    <t>Trou Machine (15cm dia x 60cm profond)</t>
  </si>
  <si>
    <t>hole_other</t>
  </si>
  <si>
    <t xml:space="preserve">Other </t>
  </si>
  <si>
    <t>Autre</t>
  </si>
  <si>
    <t>hole_shape</t>
  </si>
  <si>
    <t>hole_circle</t>
  </si>
  <si>
    <t>Circle</t>
  </si>
  <si>
    <t>#⭕️</t>
  </si>
  <si>
    <t>⭕️</t>
  </si>
  <si>
    <t>hole_cube</t>
  </si>
  <si>
    <t>Cube</t>
  </si>
  <si>
    <t>#🧊</t>
  </si>
  <si>
    <t>🧊</t>
  </si>
  <si>
    <t>propagation_method</t>
  </si>
  <si>
    <t>La graine</t>
  </si>
  <si>
    <t>Bouture</t>
  </si>
  <si>
    <t>sapling_seed</t>
  </si>
  <si>
    <t>Sapling from Seed</t>
  </si>
  <si>
    <t>Arbrisseau à partir de graines</t>
  </si>
  <si>
    <t>#🌱 🌳</t>
  </si>
  <si>
    <t>Grafted Tree</t>
  </si>
  <si>
    <t>Arbre greffé</t>
  </si>
  <si>
    <t>#✂️ 🌿 🪴 🌳</t>
  </si>
  <si>
    <t>propagation_method_unknown</t>
  </si>
  <si>
    <t>Unknown</t>
  </si>
  <si>
    <t>Inconnue</t>
  </si>
  <si>
    <t>#❓</t>
  </si>
  <si>
    <t>❓</t>
  </si>
  <si>
    <t>germination_container_type</t>
  </si>
  <si>
    <t>sac_small</t>
  </si>
  <si>
    <t>Petit sac</t>
  </si>
  <si>
    <t>sac_long.mp3</t>
  </si>
  <si>
    <t>sac_long</t>
  </si>
  <si>
    <t>Sac long</t>
  </si>
  <si>
    <t>sac_small.mp3</t>
  </si>
  <si>
    <t>bowl_small</t>
  </si>
  <si>
    <t>Petit bol</t>
  </si>
  <si>
    <t>bowl_small.mp3</t>
  </si>
  <si>
    <t>bowl_large</t>
  </si>
  <si>
    <t>Large Bowl</t>
  </si>
  <si>
    <t>Grande bol</t>
  </si>
  <si>
    <t>bowl_large.mp3</t>
  </si>
  <si>
    <t>50cell</t>
  </si>
  <si>
    <t>50 Cell NeverSink</t>
  </si>
  <si>
    <t>50 cellules NeverSink</t>
  </si>
  <si>
    <t>72cell</t>
  </si>
  <si>
    <t>72 Cell NeverSink</t>
  </si>
  <si>
    <t>72 cellules NeverSink</t>
  </si>
  <si>
    <t>128cell</t>
  </si>
  <si>
    <t>128 Cell NeverSink</t>
  </si>
  <si>
    <t>128 cellules NeverSink</t>
  </si>
  <si>
    <t>6cell</t>
  </si>
  <si>
    <t>6 Cell Humidity Dome</t>
  </si>
  <si>
    <t>Dôme d'humidité à 6 cellules</t>
  </si>
  <si>
    <t>12cell</t>
  </si>
  <si>
    <t>12 Cell Humidity Dome</t>
  </si>
  <si>
    <t>Dôme d'humidité à 12 cellules</t>
  </si>
  <si>
    <t>72cell_long</t>
  </si>
  <si>
    <t>72cell Tall Humidity Dome</t>
  </si>
  <si>
    <t>Dôme d'humidité élevé à 72 cellules</t>
  </si>
  <si>
    <t>germination_container_type_other</t>
  </si>
  <si>
    <t>container_other.mp3</t>
  </si>
  <si>
    <t>container_type</t>
  </si>
  <si>
    <t>10l_bucket</t>
  </si>
  <si>
    <t>10L Seau</t>
  </si>
  <si>
    <t>#🪣 10L</t>
  </si>
  <si>
    <t>bucket_10L.mp3</t>
  </si>
  <si>
    <t>🪣</t>
  </si>
  <si>
    <t>10L</t>
  </si>
  <si>
    <t>15l_bucket</t>
  </si>
  <si>
    <t>15L Seau</t>
  </si>
  <si>
    <t>#🪣 15L</t>
  </si>
  <si>
    <t>bucket_15L.mp3</t>
  </si>
  <si>
    <t>15L</t>
  </si>
  <si>
    <t>20l_bucket</t>
  </si>
  <si>
    <t>20L Seau</t>
  </si>
  <si>
    <t>#🪣 20L</t>
  </si>
  <si>
    <t>bucket_20L.mp3</t>
  </si>
  <si>
    <t>20L</t>
  </si>
  <si>
    <t>25l_bucket</t>
  </si>
  <si>
    <t>25L Seau</t>
  </si>
  <si>
    <t>#🪣 25L</t>
  </si>
  <si>
    <t>bucket_25L.mp3</t>
  </si>
  <si>
    <t>25L</t>
  </si>
  <si>
    <t># ⬛️</t>
  </si>
  <si>
    <t xml:space="preserve"> ⬛️</t>
  </si>
  <si>
    <t>#▪</t>
  </si>
  <si>
    <t>▪</t>
  </si>
  <si>
    <t>#🥣</t>
  </si>
  <si>
    <t>🥣</t>
  </si>
  <si>
    <t>#🍚</t>
  </si>
  <si>
    <t>🍚</t>
  </si>
  <si>
    <t>container_type_other</t>
  </si>
  <si>
    <t>#🛍️</t>
  </si>
  <si>
    <t>🛍️</t>
  </si>
  <si>
    <t>graft_type</t>
  </si>
  <si>
    <t>cleft</t>
  </si>
  <si>
    <t>Cleft "V"</t>
  </si>
  <si>
    <t>graft_cleft.jpg</t>
  </si>
  <si>
    <t>side_vaneer</t>
  </si>
  <si>
    <t>Side Vaneer</t>
  </si>
  <si>
    <t>graft_sidevaneer.jpg</t>
  </si>
  <si>
    <t>approach</t>
  </si>
  <si>
    <t>Approach</t>
  </si>
  <si>
    <t>graft_approach.jpg</t>
  </si>
  <si>
    <t>bark</t>
  </si>
  <si>
    <t>Bark</t>
  </si>
  <si>
    <t>Couronne</t>
  </si>
  <si>
    <t>graft_bark.jpg</t>
  </si>
  <si>
    <t>t_bud</t>
  </si>
  <si>
    <t>T Bud</t>
  </si>
  <si>
    <t>graft_t_bud.jpg</t>
  </si>
  <si>
    <t>chip_bud</t>
  </si>
  <si>
    <t>Chip Bud</t>
  </si>
  <si>
    <t>graft_chip_bud.jpg</t>
  </si>
  <si>
    <t>whip_and_tongue</t>
  </si>
  <si>
    <t>Whip and Tongue</t>
  </si>
  <si>
    <t>Greffe anglaise</t>
  </si>
  <si>
    <t>graft_whip.jpg</t>
  </si>
  <si>
    <t>plant_actions</t>
  </si>
  <si>
    <t>fertilizer</t>
  </si>
  <si>
    <t>Fertilizer</t>
  </si>
  <si>
    <t>Engrais</t>
  </si>
  <si>
    <t>#➕ 💩</t>
  </si>
  <si>
    <t>➕</t>
  </si>
  <si>
    <t>💩</t>
  </si>
  <si>
    <t>pruning</t>
  </si>
  <si>
    <t>Pruning</t>
  </si>
  <si>
    <t>Taillage</t>
  </si>
  <si>
    <t>#✂️ 🪓</t>
  </si>
  <si>
    <t>🪓</t>
  </si>
  <si>
    <t>shade</t>
  </si>
  <si>
    <t>Add Shade</t>
  </si>
  <si>
    <t>Ajouter de l'ombre</t>
  </si>
  <si>
    <t>#➕ 🌴🌴</t>
  </si>
  <si>
    <t>🌴🌴</t>
  </si>
  <si>
    <t>water</t>
  </si>
  <si>
    <t>Water</t>
  </si>
  <si>
    <t>Eau</t>
  </si>
  <si>
    <t>#💧 🚿</t>
  </si>
  <si>
    <t>top_working</t>
  </si>
  <si>
    <t>Top Working</t>
  </si>
  <si>
    <t>Surgreffage</t>
  </si>
  <si>
    <t>#🌳 ✂️ 🩹 🌿</t>
  </si>
  <si>
    <t>tag</t>
  </si>
  <si>
    <t>Add Label/Tag</t>
  </si>
  <si>
    <t>Ajouter etiquette</t>
  </si>
  <si>
    <t>#🏷️</t>
  </si>
  <si>
    <t>🏷️</t>
  </si>
  <si>
    <t>paint</t>
  </si>
  <si>
    <t>Paint White</t>
  </si>
  <si>
    <t>Peignez-le en blanc</t>
  </si>
  <si>
    <t>#🖌️</t>
  </si>
  <si>
    <t>🖌️</t>
  </si>
  <si>
    <t>graft_tape_wrap</t>
  </si>
  <si>
    <t>Wrap w Graft Tape</t>
  </si>
  <si>
    <t>Envelopper avec du ruban adhésif pour greffe</t>
  </si>
  <si>
    <t>#🩹</t>
  </si>
  <si>
    <t>pesticide</t>
  </si>
  <si>
    <t>Pesticide</t>
  </si>
  <si>
    <t>#🐛 ☠️</t>
  </si>
  <si>
    <t>🐛</t>
  </si>
  <si>
    <t>☠️</t>
  </si>
  <si>
    <t>shade_reduce</t>
  </si>
  <si>
    <t>Reduce Shade</t>
  </si>
  <si>
    <t>Réduire l'ombre</t>
  </si>
  <si>
    <t>#🌴🌴🌴 → 🌴</t>
  </si>
  <si>
    <t>🌴🌴🌴</t>
  </si>
  <si>
    <t>→</t>
  </si>
  <si>
    <t>🌴</t>
  </si>
  <si>
    <t>soil</t>
  </si>
  <si>
    <t>Add Soil</t>
  </si>
  <si>
    <t>Ajoutez du terre</t>
  </si>
  <si>
    <t>#➕ 🪏 🪣</t>
  </si>
  <si>
    <t>🪏</t>
  </si>
  <si>
    <t>fertilizer_type</t>
  </si>
  <si>
    <t>kellogg_4_5_4</t>
  </si>
  <si>
    <t>4-5-4 Kellogg Garden Organics Fruit Tree Fertilizer</t>
  </si>
  <si>
    <t>4-5-4 Engrais Kellogg Garden Organics</t>
  </si>
  <si>
    <t>osmocote_18_6_12</t>
  </si>
  <si>
    <t>18-6-12 Osmocote</t>
  </si>
  <si>
    <t>fertilizer_type_compost</t>
  </si>
  <si>
    <t>#♻️ 🌱</t>
  </si>
  <si>
    <t>♻️</t>
  </si>
  <si>
    <t>chicken_manure</t>
  </si>
  <si>
    <t>Chicken Manure</t>
  </si>
  <si>
    <t>Fumier de poulet</t>
  </si>
  <si>
    <t>#🐓💩</t>
  </si>
  <si>
    <t>🐓💩</t>
  </si>
  <si>
    <t>fertilizer_type_other</t>
  </si>
  <si>
    <t>fertilizer_quantity</t>
  </si>
  <si>
    <t>nearly_full_1_3_cup</t>
  </si>
  <si>
    <t>Nearly Full 1/3 Cup</t>
  </si>
  <si>
    <t>Presque plein 1/3 tasse</t>
  </si>
  <si>
    <t>full_1_3_cup</t>
  </si>
  <si>
    <t>Full 1/3 Cup</t>
  </si>
  <si>
    <t>Plein 1/3 tasse</t>
  </si>
  <si>
    <t>heaping_1_3_cup</t>
  </si>
  <si>
    <t>Heaping 1/3 Cup</t>
  </si>
  <si>
    <t>1/3 tasse débordante</t>
  </si>
  <si>
    <t>2_x_nearly_full_1_3_cup</t>
  </si>
  <si>
    <t>2 x Nearly Full 1/3 Cup</t>
  </si>
  <si>
    <t>2 x 1/3 de tasse presque pleine</t>
  </si>
  <si>
    <t>2_x_heaping_1_3_cup</t>
  </si>
  <si>
    <t>2 x Heaping 1/3 Cup</t>
  </si>
  <si>
    <t>2 x 1/3 tasse débordante</t>
  </si>
  <si>
    <t>fertilizer_quantity_other</t>
  </si>
  <si>
    <t>health_rating</t>
  </si>
  <si>
    <t>Dead</t>
  </si>
  <si>
    <t>0 - Morte</t>
  </si>
  <si>
    <t>#💀 🪦</t>
  </si>
  <si>
    <t>dead.mp4</t>
  </si>
  <si>
    <t>💀</t>
  </si>
  <si>
    <t>🪦</t>
  </si>
  <si>
    <t>Almost Dead</t>
  </si>
  <si>
    <t>1 - Presque mort</t>
  </si>
  <si>
    <t>#💀 ❓</t>
  </si>
  <si>
    <t>almostdead.mp4</t>
  </si>
  <si>
    <t>Alive, but not good.</t>
  </si>
  <si>
    <t>2 - Vivant, mais pas bon.</t>
  </si>
  <si>
    <t>#🌿 👎🏿</t>
  </si>
  <si>
    <t>alivenotwell.mp4</t>
  </si>
  <si>
    <t>Alive</t>
  </si>
  <si>
    <t>👎🏿</t>
  </si>
  <si>
    <t>Alive. No Problems.</t>
  </si>
  <si>
    <t>3 - Vivant. Pas de problème.</t>
  </si>
  <si>
    <t>#🌿 👌🏿</t>
  </si>
  <si>
    <t>alivenoproblems.mp4</t>
  </si>
  <si>
    <t>👌🏿</t>
  </si>
  <si>
    <t>Alive and good!</t>
  </si>
  <si>
    <t>4 - Vivant et bon !</t>
  </si>
  <si>
    <t>#🌿 👍🏿👍🏿 ✅</t>
  </si>
  <si>
    <t>aliveandgood.mp4</t>
  </si>
  <si>
    <t>👍🏿👍🏿</t>
  </si>
  <si>
    <t>✅</t>
  </si>
  <si>
    <t>sun_shade</t>
  </si>
  <si>
    <t>1 - FULL SHADE</t>
  </si>
  <si>
    <t>1 - PLEINE OMBRE</t>
  </si>
  <si>
    <t>#🌴 🌴 🌴</t>
  </si>
  <si>
    <t>2 - mostly shade, some sun</t>
  </si>
  <si>
    <t>2 - principalement de l'ombre, un peu de soleil</t>
  </si>
  <si>
    <t>#🌴 🌴 ☀️</t>
  </si>
  <si>
    <t>2 - mostly shade</t>
  </si>
  <si>
    <t>3 mix of sun and shade</t>
  </si>
  <si>
    <t>3 mélanges de soleil et d'ombre</t>
  </si>
  <si>
    <t>#🌴 ☀️</t>
  </si>
  <si>
    <t>4 mostly sun, some shade/protection</t>
  </si>
  <si>
    <t>4 principalement du soleil, un peu d'ombre/protection</t>
  </si>
  <si>
    <t>#☀️ ☀️ 🌴</t>
  </si>
  <si>
    <t>4 mostly sun</t>
  </si>
  <si>
    <t>5 - FULL SUN</t>
  </si>
  <si>
    <t>5 – PLEIN SOLEIL</t>
  </si>
  <si>
    <t>#☀️ ☀️ ☀️</t>
  </si>
  <si>
    <t>obs_problem</t>
  </si>
  <si>
    <t>damage_graft</t>
  </si>
  <si>
    <t>Graft Damage</t>
  </si>
  <si>
    <t>Dommages au greffon</t>
  </si>
  <si>
    <t>#🪢 ✂️ 🌱</t>
  </si>
  <si>
    <t>problem_graft_died.mp3</t>
  </si>
  <si>
    <t>🪢</t>
  </si>
  <si>
    <t>sad_leaves</t>
  </si>
  <si>
    <t>Sad Leaves</t>
  </si>
  <si>
    <t>Feuilles tristes</t>
  </si>
  <si>
    <t>#🥀</t>
  </si>
  <si>
    <t>problem_leaves_sad.mp3</t>
  </si>
  <si>
    <t>🥀</t>
  </si>
  <si>
    <t>lost_leaves</t>
  </si>
  <si>
    <t>Lost Leaves</t>
  </si>
  <si>
    <t>Feuilles perdues</t>
  </si>
  <si>
    <t>#🪾</t>
  </si>
  <si>
    <t>problem_leaves_gone.mp3</t>
  </si>
  <si>
    <t>leaves_eaten</t>
  </si>
  <si>
    <t>Leaves Eaten</t>
  </si>
  <si>
    <t>Feuilles mangé</t>
  </si>
  <si>
    <t>#🐛 🥄 🍃</t>
  </si>
  <si>
    <t>problem_animal_ate_leaves.mp3</t>
  </si>
  <si>
    <t>🥄</t>
  </si>
  <si>
    <t>🍃</t>
  </si>
  <si>
    <t>leaves_discolored</t>
  </si>
  <si>
    <t>Leaves Discolored</t>
  </si>
  <si>
    <t>Feuilles décolorées</t>
  </si>
  <si>
    <t>#🍂</t>
  </si>
  <si>
    <t>🍂</t>
  </si>
  <si>
    <t>stunted_growth</t>
  </si>
  <si>
    <t>Stunted Growth</t>
  </si>
  <si>
    <t>Croissance Retardé</t>
  </si>
  <si>
    <t>broken</t>
  </si>
  <si>
    <t>Broken</t>
  </si>
  <si>
    <t>Cassé</t>
  </si>
  <si>
    <t>#⛓️‍💥</t>
  </si>
  <si>
    <t>problem_broken.mp3</t>
  </si>
  <si>
    <t>⛓️‍💥</t>
  </si>
  <si>
    <t>burned</t>
  </si>
  <si>
    <t>Burned</t>
  </si>
  <si>
    <t>Brûlé</t>
  </si>
  <si>
    <t>#🌳 🔥</t>
  </si>
  <si>
    <t>problem_fire_burned.mp3</t>
  </si>
  <si>
    <t>insect</t>
  </si>
  <si>
    <t>Insect</t>
  </si>
  <si>
    <t>Insecte</t>
  </si>
  <si>
    <t>#🪳</t>
  </si>
  <si>
    <t>problem_bug_pierced.mp3</t>
  </si>
  <si>
    <t>🪳</t>
  </si>
  <si>
    <t>diseased</t>
  </si>
  <si>
    <t>Diseased</t>
  </si>
  <si>
    <t>Maladie</t>
  </si>
  <si>
    <t>#🦠 🤒</t>
  </si>
  <si>
    <t>problem_sick.mp3</t>
  </si>
  <si>
    <t>🦠</t>
  </si>
  <si>
    <t>🤒</t>
  </si>
  <si>
    <t>rotten</t>
  </si>
  <si>
    <t>Rotten</t>
  </si>
  <si>
    <t>Pourri</t>
  </si>
  <si>
    <t>problem_rotted.mp3</t>
  </si>
  <si>
    <t>Écorce</t>
  </si>
  <si>
    <t>roots</t>
  </si>
  <si>
    <t>Roots Exposed</t>
  </si>
  <si>
    <t>Racines Exposés</t>
  </si>
  <si>
    <t>damage_other</t>
  </si>
  <si>
    <t>graft_problem</t>
  </si>
  <si>
    <t>graft_dead</t>
  </si>
  <si>
    <t>Graft Dead</t>
  </si>
  <si>
    <t>Greffe morte</t>
  </si>
  <si>
    <t>#✂️ 🌿 💀</t>
  </si>
  <si>
    <t>r_graft_health_dead.mp3</t>
  </si>
  <si>
    <t>graft_dead_maybe</t>
  </si>
  <si>
    <t>Graft Maybe Dead</t>
  </si>
  <si>
    <t>Greffe peut-être morte</t>
  </si>
  <si>
    <t>#✂️ 🌿 💀 ❓</t>
  </si>
  <si>
    <t>r_graft_health_maybe_dead.mp3</t>
  </si>
  <si>
    <t>graft_damaged</t>
  </si>
  <si>
    <t>Graft Damaged</t>
  </si>
  <si>
    <t>Greffe endommagée</t>
  </si>
  <si>
    <t>#✂️ 🌿 ☹️</t>
  </si>
  <si>
    <t>r_graft_not_healthy.mp3</t>
  </si>
  <si>
    <t>☹️</t>
  </si>
  <si>
    <t>graft_alive</t>
  </si>
  <si>
    <t>Graft Alive</t>
  </si>
  <si>
    <t>Greffe Vivant</t>
  </si>
  <si>
    <t>#✂️ 🌿 😃</t>
  </si>
  <si>
    <t>r_graft_healthy.mp3</t>
  </si>
  <si>
    <t>😃</t>
  </si>
  <si>
    <t>scion_readiness</t>
  </si>
  <si>
    <t>r_ready_1</t>
  </si>
  <si>
    <t>Not Ready</t>
  </si>
  <si>
    <t>Pas prêt</t>
  </si>
  <si>
    <t>A ma pélé fyio</t>
  </si>
  <si>
    <t>#😵‍💫 ❌</t>
  </si>
  <si>
    <t>r_ready_1.mp3</t>
  </si>
  <si>
    <t>😵‍💫</t>
  </si>
  <si>
    <t>❌</t>
  </si>
  <si>
    <t>r_ready_2</t>
  </si>
  <si>
    <t>Almost Ready</t>
  </si>
  <si>
    <t>Presque prêt</t>
  </si>
  <si>
    <t>A fé ka pélé</t>
  </si>
  <si>
    <t>#🙂 🟡</t>
  </si>
  <si>
    <t>r_ready_2.mp3</t>
  </si>
  <si>
    <t>🙂</t>
  </si>
  <si>
    <t>🟡</t>
  </si>
  <si>
    <t>r_ready_3</t>
  </si>
  <si>
    <t>Really Ready</t>
  </si>
  <si>
    <t>Vraiment prêt</t>
  </si>
  <si>
    <t>É pélé fyio</t>
  </si>
  <si>
    <t>#🙂 ✅</t>
  </si>
  <si>
    <t>r_ready_3.mp3</t>
  </si>
  <si>
    <t>r_ready_4</t>
  </si>
  <si>
    <t>Past Ready</t>
  </si>
  <si>
    <t>Passé prêt</t>
  </si>
  <si>
    <t>Wo bé timi</t>
  </si>
  <si>
    <t>#😬 🌸</t>
  </si>
  <si>
    <t>r_ready_4.mp3</t>
  </si>
  <si>
    <t>😬</t>
  </si>
  <si>
    <t>🌸</t>
  </si>
  <si>
    <t>problem_cause</t>
  </si>
  <si>
    <t>Animal</t>
  </si>
  <si>
    <t>#🐾 🦌</t>
  </si>
  <si>
    <t>problem_cause_animal.mp3</t>
  </si>
  <si>
    <t>🐾</t>
  </si>
  <si>
    <t>🦌</t>
  </si>
  <si>
    <t>person</t>
  </si>
  <si>
    <t>Person</t>
  </si>
  <si>
    <t>Une Personne</t>
  </si>
  <si>
    <t>#🧍 🧑</t>
  </si>
  <si>
    <t>problem_cause_people.mp3</t>
  </si>
  <si>
    <t>🧍</t>
  </si>
  <si>
    <t>🧑</t>
  </si>
  <si>
    <t>#🌬️ 🍃</t>
  </si>
  <si>
    <t>problem_cause_wind.mp3</t>
  </si>
  <si>
    <t>problem_cause_fire.mp3</t>
  </si>
  <si>
    <t>wet</t>
  </si>
  <si>
    <t>Too Wet</t>
  </si>
  <si>
    <t>Trop humide</t>
  </si>
  <si>
    <t>#💦 💦 💦</t>
  </si>
  <si>
    <t>problem_cause_too_wet.mp3</t>
  </si>
  <si>
    <t>dry</t>
  </si>
  <si>
    <t>Too Dry</t>
  </si>
  <si>
    <t>Trop sec</t>
  </si>
  <si>
    <t>problem_cause_too_dry.mp3</t>
  </si>
  <si>
    <t>sun</t>
  </si>
  <si>
    <t>Too Sunny</t>
  </si>
  <si>
    <t>Trop Soleil</t>
  </si>
  <si>
    <t>problem_cause_sun.mp3</t>
  </si>
  <si>
    <t>Too Shady</t>
  </si>
  <si>
    <t>Trop Ombre</t>
  </si>
  <si>
    <t>nutrition</t>
  </si>
  <si>
    <t>Lacking Nutrition</t>
  </si>
  <si>
    <t>erosion</t>
  </si>
  <si>
    <t>Erosion</t>
  </si>
  <si>
    <t>problem_unknown</t>
  </si>
  <si>
    <t>problem_cause_unknown.mp3</t>
  </si>
  <si>
    <t>problem_other</t>
  </si>
  <si>
    <t>animal_damage</t>
  </si>
  <si>
    <t>animal_unknown</t>
  </si>
  <si>
    <t>#❓ 🌀 ❌ 👎</t>
  </si>
  <si>
    <t>🌀</t>
  </si>
  <si>
    <t>👎</t>
  </si>
  <si>
    <t>cow</t>
  </si>
  <si>
    <t>Cow</t>
  </si>
  <si>
    <t>Vache</t>
  </si>
  <si>
    <t>#🐄</t>
  </si>
  <si>
    <t>🐄</t>
  </si>
  <si>
    <t>goat</t>
  </si>
  <si>
    <t>Goat</t>
  </si>
  <si>
    <t>Chèvre</t>
  </si>
  <si>
    <t>#🐐</t>
  </si>
  <si>
    <t>🐐</t>
  </si>
  <si>
    <t>termites</t>
  </si>
  <si>
    <t>Termites</t>
  </si>
  <si>
    <t>#🐜</t>
  </si>
  <si>
    <t>🐜</t>
  </si>
  <si>
    <t>wild_animal</t>
  </si>
  <si>
    <t>Wild Animal</t>
  </si>
  <si>
    <t>Animal sauvage</t>
  </si>
  <si>
    <t>animal_other</t>
  </si>
  <si>
    <t>animal_wild_unkown</t>
  </si>
  <si>
    <t>Unknown Wild Animal</t>
  </si>
  <si>
    <t>Animal sauvage inconnu</t>
  </si>
  <si>
    <t>#🐾 ❓</t>
  </si>
  <si>
    <t>grass_cutter</t>
  </si>
  <si>
    <t>Grass Cutter</t>
  </si>
  <si>
    <t>Agoutil</t>
  </si>
  <si>
    <t>#🐀</t>
  </si>
  <si>
    <t>🐀</t>
  </si>
  <si>
    <t>aardvark</t>
  </si>
  <si>
    <t>Aardvark</t>
  </si>
  <si>
    <t>diker</t>
  </si>
  <si>
    <t>Duiker</t>
  </si>
  <si>
    <t>#🦌</t>
  </si>
  <si>
    <t>pangolin</t>
  </si>
  <si>
    <t>Pangolin</t>
  </si>
  <si>
    <t>monkey</t>
  </si>
  <si>
    <t>Monkey</t>
  </si>
  <si>
    <t>Singe</t>
  </si>
  <si>
    <t>#🐒</t>
  </si>
  <si>
    <t>🐒</t>
  </si>
  <si>
    <t>growth_kind</t>
  </si>
  <si>
    <t>budding</t>
  </si>
  <si>
    <t>Budding</t>
  </si>
  <si>
    <t>Bourgeonnant</t>
  </si>
  <si>
    <t>#🌿 🌱 🌼</t>
  </si>
  <si>
    <t>carambola_small1.jpg</t>
  </si>
  <si>
    <t>r_new_buds.mp3</t>
  </si>
  <si>
    <t>🌼</t>
  </si>
  <si>
    <t>flowering</t>
  </si>
  <si>
    <t>Flowering</t>
  </si>
  <si>
    <t>Floraison</t>
  </si>
  <si>
    <t>#🌸 🌼</t>
  </si>
  <si>
    <t>r_flowers.mp3</t>
  </si>
  <si>
    <t>fruiting</t>
  </si>
  <si>
    <t>Fruiting</t>
  </si>
  <si>
    <t>Fructification</t>
  </si>
  <si>
    <t>#🍎 🍊 🍋</t>
  </si>
  <si>
    <t>r_fruit.mp3</t>
  </si>
  <si>
    <t>🍎</t>
  </si>
  <si>
    <t>🍊</t>
  </si>
  <si>
    <t>🍋</t>
  </si>
  <si>
    <t>new_branches</t>
  </si>
  <si>
    <t>New Branches</t>
  </si>
  <si>
    <t>Nouvelles branches</t>
  </si>
  <si>
    <t>#🆕 🌿</t>
  </si>
  <si>
    <t>r_new_branches.mp3</t>
  </si>
  <si>
    <t>🆕</t>
  </si>
  <si>
    <t>new_leaves</t>
  </si>
  <si>
    <t>New Leaves</t>
  </si>
  <si>
    <t>Nouvelles feuilles</t>
  </si>
  <si>
    <t>r_new leaves.mp3</t>
  </si>
  <si>
    <t>yes_no</t>
  </si>
  <si>
    <t>Yes</t>
  </si>
  <si>
    <t>Oui</t>
  </si>
  <si>
    <t>#✅ 👍</t>
  </si>
  <si>
    <t>yes.mp3</t>
  </si>
  <si>
    <t>en_yes.mp3</t>
  </si>
  <si>
    <t>👍</t>
  </si>
  <si>
    <t>No</t>
  </si>
  <si>
    <t>Non</t>
  </si>
  <si>
    <t>#❌ 👎</t>
  </si>
  <si>
    <t>no.mp3</t>
  </si>
  <si>
    <t>en_no.mp3</t>
  </si>
  <si>
    <t>yes_no_maybe</t>
  </si>
  <si>
    <t>yes1</t>
  </si>
  <si>
    <t>no1</t>
  </si>
  <si>
    <t>maybe1</t>
  </si>
  <si>
    <t>Maybe</t>
  </si>
  <si>
    <t>Peut-Être</t>
  </si>
  <si>
    <t>#🤔 ❓</t>
  </si>
  <si>
    <t>r_maybe.mp3</t>
  </si>
  <si>
    <t>🤔</t>
  </si>
  <si>
    <t>flowering_amount</t>
  </si>
  <si>
    <t>flowering_1</t>
  </si>
  <si>
    <t>Only one</t>
  </si>
  <si>
    <t>Seulement un</t>
  </si>
  <si>
    <t>#🌼</t>
  </si>
  <si>
    <t>only_one.mp4</t>
  </si>
  <si>
    <t>flowering_2</t>
  </si>
  <si>
    <t>Some</t>
  </si>
  <si>
    <t>Quelques uns</t>
  </si>
  <si>
    <t>#🌼🌼🌼</t>
  </si>
  <si>
    <t>some.mp4</t>
  </si>
  <si>
    <t>🌼🌼🌼</t>
  </si>
  <si>
    <t>flowering_3</t>
  </si>
  <si>
    <t>A lot!</t>
  </si>
  <si>
    <t>Beaucoup!</t>
  </si>
  <si>
    <t>#🌼🌼🌼🌼🌼🌼🌼</t>
  </si>
  <si>
    <t>a_lot.mp4</t>
  </si>
  <si>
    <t>🌼🌼🌼🌼🌼🌼🌼</t>
  </si>
  <si>
    <t>weather_amount</t>
  </si>
  <si>
    <t>weather_amount_1</t>
  </si>
  <si>
    <t>Tiny</t>
  </si>
  <si>
    <t>Tout petit</t>
  </si>
  <si>
    <t>weather_amount_2</t>
  </si>
  <si>
    <t>Very Light / Small</t>
  </si>
  <si>
    <t>Très Léger / Petit</t>
  </si>
  <si>
    <t>weather_amount_3</t>
  </si>
  <si>
    <t>Not big not small</t>
  </si>
  <si>
    <t>Pas grand pas petit</t>
  </si>
  <si>
    <t>weather_amount_4</t>
  </si>
  <si>
    <t>Strong / Big</t>
  </si>
  <si>
    <t>Fort / Grand</t>
  </si>
  <si>
    <t>weather_amount_5</t>
  </si>
  <si>
    <t>HUGE!</t>
  </si>
  <si>
    <t>ÉNORME!</t>
  </si>
  <si>
    <t>rain_duration</t>
  </si>
  <si>
    <t>min_15</t>
  </si>
  <si>
    <t>Less than 15 min</t>
  </si>
  <si>
    <t>Moins de 15 minutes</t>
  </si>
  <si>
    <t>min_60</t>
  </si>
  <si>
    <t>Less than 1hr</t>
  </si>
  <si>
    <t>Moins d'1h</t>
  </si>
  <si>
    <t>min_120</t>
  </si>
  <si>
    <t>Less than 2hrs</t>
  </si>
  <si>
    <t>Moins de 2h</t>
  </si>
  <si>
    <t>min_120+</t>
  </si>
  <si>
    <t>More than 2hrs</t>
  </si>
  <si>
    <t>Plus de 2h</t>
  </si>
  <si>
    <t>wind_duration</t>
  </si>
  <si>
    <t>wind_duration_1</t>
  </si>
  <si>
    <t>Less than 1 min</t>
  </si>
  <si>
    <t>Moins de 1 min</t>
  </si>
  <si>
    <t>wind_duration_5</t>
  </si>
  <si>
    <t>Less than 5 min</t>
  </si>
  <si>
    <t>Moins de 5 minutes</t>
  </si>
  <si>
    <t>wind_duration_15</t>
  </si>
  <si>
    <t>wind_duration_30</t>
  </si>
  <si>
    <t>less than 30min</t>
  </si>
  <si>
    <t>moins de 30min</t>
  </si>
  <si>
    <t>wind_duration_30+</t>
  </si>
  <si>
    <t>more than 30 min</t>
  </si>
  <si>
    <t>plus de 30 minutes</t>
  </si>
  <si>
    <t>nursery_cashewhill</t>
  </si>
  <si>
    <t>Cashew Hill</t>
  </si>
  <si>
    <t>Colline de la noix de cajou</t>
  </si>
  <si>
    <t>#🥜 🌰</t>
  </si>
  <si>
    <t>🌰</t>
  </si>
  <si>
    <t>nursery_housearea</t>
  </si>
  <si>
    <t>House Area</t>
  </si>
  <si>
    <t>Zone de la maison</t>
  </si>
  <si>
    <t>Creek</t>
  </si>
  <si>
    <t>Ruisseau</t>
  </si>
  <si>
    <t>nursery_shellysupstairsporch</t>
  </si>
  <si>
    <t>Shelly's Upstairs Porch</t>
  </si>
  <si>
    <t>Porche à l'étage de Shelly</t>
  </si>
  <si>
    <t>nursery_other</t>
  </si>
  <si>
    <t>compost_materials</t>
  </si>
  <si>
    <t>grass_dry</t>
  </si>
  <si>
    <t>Dry Grass</t>
  </si>
  <si>
    <t>Herbe sèche</t>
  </si>
  <si>
    <t>grass_fresh</t>
  </si>
  <si>
    <t>Fresh Grass</t>
  </si>
  <si>
    <t>Herbe fraîche</t>
  </si>
  <si>
    <t>leaves_dry</t>
  </si>
  <si>
    <t>Dry Leaves</t>
  </si>
  <si>
    <t>Feuilles sèches</t>
  </si>
  <si>
    <t>leaves_fresh</t>
  </si>
  <si>
    <t>Fresh Leaves</t>
  </si>
  <si>
    <t>Feuilles fraîches</t>
  </si>
  <si>
    <t>compost_done</t>
  </si>
  <si>
    <t>compost_0</t>
  </si>
  <si>
    <t>Brand New</t>
  </si>
  <si>
    <t>Tout neuf</t>
  </si>
  <si>
    <t>#🆕 🌱</t>
  </si>
  <si>
    <t>compost_1</t>
  </si>
  <si>
    <t>A little New, a little spoiled</t>
  </si>
  <si>
    <t>Un peu Nouveau, un peu gâté</t>
  </si>
  <si>
    <t>#a little spoiled 🆕 🌱</t>
  </si>
  <si>
    <t>A little New</t>
  </si>
  <si>
    <t>a little spoiled</t>
  </si>
  <si>
    <t>compost_2</t>
  </si>
  <si>
    <t>Not New Not Spolied a lot</t>
  </si>
  <si>
    <t>Pas nouveau pas beaucoup spolié</t>
  </si>
  <si>
    <t>#🆕 🌱 ❌ 👎</t>
  </si>
  <si>
    <t>compost_3</t>
  </si>
  <si>
    <t>Spoiled a lot, not ready</t>
  </si>
  <si>
    <t>Beaucoup gâté, pas prêt</t>
  </si>
  <si>
    <t>#not ready ❌ 👎</t>
  </si>
  <si>
    <t>Spoiled a lot</t>
  </si>
  <si>
    <t>not ready</t>
  </si>
  <si>
    <t>compost_4</t>
  </si>
  <si>
    <t>Spoiled and ready!</t>
  </si>
  <si>
    <t>Gâté et prêt !</t>
  </si>
  <si>
    <t>cashew_type</t>
  </si>
  <si>
    <t>cashew_yellow</t>
  </si>
  <si>
    <t>Yellow Fruit LA X3264</t>
  </si>
  <si>
    <t>Fruit Jaune LA X3264</t>
  </si>
  <si>
    <t>#🟡</t>
  </si>
  <si>
    <t>cashew_yellow.jpg</t>
  </si>
  <si>
    <t>cashew_red</t>
  </si>
  <si>
    <t>Red Fruit LA X4297</t>
  </si>
  <si>
    <t>Fruits Rouges LA X4297</t>
  </si>
  <si>
    <t>#🔴</t>
  </si>
  <si>
    <t>cashew_red.jpg</t>
  </si>
  <si>
    <t>🔴</t>
  </si>
  <si>
    <t>cashew_orange</t>
  </si>
  <si>
    <t>Orange Fruit LA Z330</t>
  </si>
  <si>
    <t>Fruits Oranges LA Z330</t>
  </si>
  <si>
    <t>#🟠</t>
  </si>
  <si>
    <t>cashew_orange.jpg</t>
  </si>
  <si>
    <t>🟠</t>
  </si>
  <si>
    <t>cashew_group_yellow</t>
  </si>
  <si>
    <t>Yellow</t>
  </si>
  <si>
    <t>Jaune</t>
  </si>
  <si>
    <t>cashew_group_white</t>
  </si>
  <si>
    <t>White</t>
  </si>
  <si>
    <t>Blanc</t>
  </si>
  <si>
    <t>#⚪️</t>
  </si>
  <si>
    <t>⚪️</t>
  </si>
  <si>
    <t>cashew_group_blue</t>
  </si>
  <si>
    <t>Blue</t>
  </si>
  <si>
    <t>Bleu</t>
  </si>
  <si>
    <t>#🔵</t>
  </si>
  <si>
    <t>🔵</t>
  </si>
  <si>
    <t>cashew_group_unknown</t>
  </si>
  <si>
    <t>Inconnu</t>
  </si>
  <si>
    <t>harvest_cashew_mass</t>
  </si>
  <si>
    <t>mass_cashew_both</t>
  </si>
  <si>
    <t>Both Cashew Apple and Nut Together</t>
  </si>
  <si>
    <t>Pomme de cajou et noix ensemble</t>
  </si>
  <si>
    <t>mass_cashew_apples</t>
  </si>
  <si>
    <t>Cashew Apple Only</t>
  </si>
  <si>
    <t>Pomme de cajou uniquement</t>
  </si>
  <si>
    <t>#🌰 🌰</t>
  </si>
  <si>
    <t>mass_cashew_seeds</t>
  </si>
  <si>
    <t>Cashew Seeds Only</t>
  </si>
  <si>
    <t>Graines de cajou uniquement</t>
  </si>
  <si>
    <t>fruit_cashew</t>
  </si>
  <si>
    <t>fruit_cashew_apple</t>
  </si>
  <si>
    <t>Cashew Apple</t>
  </si>
  <si>
    <t>Pomme De Cajou</t>
  </si>
  <si>
    <t>#🌰</t>
  </si>
  <si>
    <t>fruit_cashew_seed</t>
  </si>
  <si>
    <t>Cashew Seed</t>
  </si>
  <si>
    <t>Graine de cajou</t>
  </si>
  <si>
    <t>cashew_treatment</t>
  </si>
  <si>
    <t>control</t>
  </si>
  <si>
    <t>Nothing (Control)</t>
  </si>
  <si>
    <t>Rien (Contrôle)</t>
  </si>
  <si>
    <t>#❌</t>
  </si>
  <si>
    <t>Compost + Biochar</t>
  </si>
  <si>
    <t>#♻️</t>
  </si>
  <si>
    <t>Water (Tree Diaper)</t>
  </si>
  <si>
    <t>Eau (couche d'arbre)</t>
  </si>
  <si>
    <t>#🌳 💧</t>
  </si>
  <si>
    <t>cashew_import_year</t>
  </si>
  <si>
    <t>transplant_year_cashew</t>
  </si>
  <si>
    <t>transplant_year_cashew_2019</t>
  </si>
  <si>
    <t>transplant_year_cashew_2021</t>
  </si>
  <si>
    <t>transplant_year_cashew_2022</t>
  </si>
  <si>
    <t>transplant_year_cashew_unknown</t>
  </si>
  <si>
    <t>budwood_readiness</t>
  </si>
  <si>
    <t>immediately</t>
  </si>
  <si>
    <t>Immediately</t>
  </si>
  <si>
    <t>Immédiatement</t>
  </si>
  <si>
    <t>#‼️</t>
  </si>
  <si>
    <t>‼️</t>
  </si>
  <si>
    <t>this_week</t>
  </si>
  <si>
    <t>This Week</t>
  </si>
  <si>
    <t>Cette semaine</t>
  </si>
  <si>
    <t>#📅 x 7</t>
  </si>
  <si>
    <t>📅 x 7</t>
  </si>
  <si>
    <t>this_month</t>
  </si>
  <si>
    <t>This Month</t>
  </si>
  <si>
    <t>Ce mois-ci</t>
  </si>
  <si>
    <t>#🗓️</t>
  </si>
  <si>
    <t>🗓️</t>
  </si>
  <si>
    <t>this_year</t>
  </si>
  <si>
    <t>This Year</t>
  </si>
  <si>
    <t>Cette année</t>
  </si>
  <si>
    <t>#🗓️ x 12</t>
  </si>
  <si>
    <t>🗓️ x 12</t>
  </si>
  <si>
    <t>graft_person</t>
  </si>
  <si>
    <t>mamadi</t>
  </si>
  <si>
    <t>Mamadi Sangaré</t>
  </si>
  <si>
    <t>mamadi.jpg</t>
  </si>
  <si>
    <t>tyler</t>
  </si>
  <si>
    <t>Foungbe Faragbe</t>
  </si>
  <si>
    <t>tyler1.jpg</t>
  </si>
  <si>
    <t>pierre</t>
  </si>
  <si>
    <t>Pépé Pierre</t>
  </si>
  <si>
    <t>pierre.jpg</t>
  </si>
  <si>
    <t>water_meters</t>
  </si>
  <si>
    <t>cashew_shed</t>
  </si>
  <si>
    <t>Cashew Shed</t>
  </si>
  <si>
    <t>Hangar Cajou (en brosse)</t>
  </si>
  <si>
    <t>Somofélo</t>
  </si>
  <si>
    <t>mini_house_well</t>
  </si>
  <si>
    <t>Mini House Well</t>
  </si>
  <si>
    <t>Peppiniere Forage (Manuel)</t>
  </si>
  <si>
    <t>mini_house_yolink</t>
  </si>
  <si>
    <t>Mini House Yolink</t>
  </si>
  <si>
    <t>Peppiniere YoLink</t>
  </si>
  <si>
    <t>beyla_house_foungbe</t>
  </si>
  <si>
    <t>Beyla House Foungbe</t>
  </si>
  <si>
    <t>Maison Foungbe à Beyla</t>
  </si>
  <si>
    <t>fruit_quality</t>
  </si>
  <si>
    <t>frt_qlty_a</t>
  </si>
  <si>
    <t>Best/Premium Commercial</t>
  </si>
  <si>
    <t>Meilleur/Premium Commercial</t>
  </si>
  <si>
    <t>#👍🏿 👍🏿</t>
  </si>
  <si>
    <t>frt_qlty_a.mp3</t>
  </si>
  <si>
    <t>👍🏿</t>
  </si>
  <si>
    <t>frt_qlty_b</t>
  </si>
  <si>
    <t>2nds (has some sort of defect)</t>
  </si>
  <si>
    <t>2e (présente un défaut)</t>
  </si>
  <si>
    <t>#👍🏿 👎🏿</t>
  </si>
  <si>
    <t>frt_qlty_b.mp3</t>
  </si>
  <si>
    <t>frt_qlty_c</t>
  </si>
  <si>
    <t>Non-edible, seeds mature enough to germinate</t>
  </si>
  <si>
    <t>Non comestible, graines suffisamment mûres pour germer</t>
  </si>
  <si>
    <t>#🚫 🥄 🌱 👍🏿</t>
  </si>
  <si>
    <t>frt_qlty_c.mp3</t>
  </si>
  <si>
    <t>Non-edible</t>
  </si>
  <si>
    <t>🚫</t>
  </si>
  <si>
    <t>frt_qlty_d</t>
  </si>
  <si>
    <t>Non-edible, seeds immature</t>
  </si>
  <si>
    <t>Non comestible, graines immatures</t>
  </si>
  <si>
    <t>#🚫 🥄 🌱 👎🏿</t>
  </si>
  <si>
    <t>frt_qlty_d.mp3</t>
  </si>
  <si>
    <t>list_plants_variety</t>
  </si>
  <si>
    <t>variety_unknown</t>
  </si>
  <si>
    <t>Acacia_angustissima</t>
  </si>
  <si>
    <t>Prairie Acacia</t>
  </si>
  <si>
    <t>Acacia des prairies</t>
  </si>
  <si>
    <t>Acacia angustissima</t>
  </si>
  <si>
    <t>Allium_tuberosum</t>
  </si>
  <si>
    <t>Garlic Chives</t>
  </si>
  <si>
    <t>Ciboulette ail</t>
  </si>
  <si>
    <t>Allium tuberosum</t>
  </si>
  <si>
    <t>Alternanthera_sissoo</t>
  </si>
  <si>
    <t>Sisso Spinach</t>
  </si>
  <si>
    <t>Épinards Sisso</t>
  </si>
  <si>
    <t>Alternanthera sissoo</t>
  </si>
  <si>
    <t>Amaranthus_tricolor</t>
  </si>
  <si>
    <t>Edible/Vegetable Amaranth</t>
  </si>
  <si>
    <t>Amarante comestible/légume</t>
  </si>
  <si>
    <t>Amaranthus tricolor</t>
  </si>
  <si>
    <t>Anacardium_occidentale</t>
  </si>
  <si>
    <t>Anacardium occidentale</t>
  </si>
  <si>
    <t>Annona_cherimola</t>
  </si>
  <si>
    <t>Cherimoya</t>
  </si>
  <si>
    <t>Chérimoïe</t>
  </si>
  <si>
    <t>Annona cherimola</t>
  </si>
  <si>
    <t>Annona_cherimola_x_A._reticulata</t>
  </si>
  <si>
    <t>Cherilata</t>
  </si>
  <si>
    <t>Annona cherimola x A. reticulata</t>
  </si>
  <si>
    <t>Annona_mucosa</t>
  </si>
  <si>
    <t>Rollinia</t>
  </si>
  <si>
    <t>Rollinie</t>
  </si>
  <si>
    <t>Annona mucosa</t>
  </si>
  <si>
    <t>Annona_muricata</t>
  </si>
  <si>
    <t>Soursop</t>
  </si>
  <si>
    <t>Corossol</t>
  </si>
  <si>
    <t>Annona muricata</t>
  </si>
  <si>
    <t>Annona_purpurea</t>
  </si>
  <si>
    <t>Soncoya</t>
  </si>
  <si>
    <t>Annona purpurea</t>
  </si>
  <si>
    <t>Annona_reticulata</t>
  </si>
  <si>
    <t>Custard Apple</t>
  </si>
  <si>
    <t>Pomme à la crème</t>
  </si>
  <si>
    <t>Annona reticulata</t>
  </si>
  <si>
    <t>Annona_sp.</t>
  </si>
  <si>
    <t>Annona</t>
  </si>
  <si>
    <t>Annona sp.</t>
  </si>
  <si>
    <t>Annona_squamosa</t>
  </si>
  <si>
    <t>Sugar Apple</t>
  </si>
  <si>
    <t>Pomme de sucre</t>
  </si>
  <si>
    <t>Annona squamosa</t>
  </si>
  <si>
    <t>Annona_x_atemoya</t>
  </si>
  <si>
    <t>Atemoya</t>
  </si>
  <si>
    <t>Atémoya</t>
  </si>
  <si>
    <t>Annona x atemoya</t>
  </si>
  <si>
    <t>Arachis_glabrata</t>
  </si>
  <si>
    <t>Forage Peanut</t>
  </si>
  <si>
    <t>Arachide fourragère</t>
  </si>
  <si>
    <t>Arachis glabrata</t>
  </si>
  <si>
    <t>Arachis_pintoi</t>
  </si>
  <si>
    <t>Pinto Peanut</t>
  </si>
  <si>
    <t>Cacahuète Pinto</t>
  </si>
  <si>
    <t>Arachis pintoi</t>
  </si>
  <si>
    <t>Artocarpus_heterophyllus</t>
  </si>
  <si>
    <t>Jackfruit</t>
  </si>
  <si>
    <t>Jacquier</t>
  </si>
  <si>
    <t>Artocarpus heterophyllus</t>
  </si>
  <si>
    <t>Artocarpus_integer</t>
  </si>
  <si>
    <t>Chempadek</t>
  </si>
  <si>
    <t>Artocarpus integer</t>
  </si>
  <si>
    <t>Artocarpus_parvus</t>
  </si>
  <si>
    <t>Kwai Muk</t>
  </si>
  <si>
    <t>Kwaï Muk</t>
  </si>
  <si>
    <t>Artocarpus parvus</t>
  </si>
  <si>
    <t>Asparagus_officinalis</t>
  </si>
  <si>
    <t>Asparagus</t>
  </si>
  <si>
    <t>Asperges</t>
  </si>
  <si>
    <t>Asparagus officinalis</t>
  </si>
  <si>
    <t>Averrhoa_bilimbi</t>
  </si>
  <si>
    <t>Bilimbi</t>
  </si>
  <si>
    <t>Averrhoa bilimbi</t>
  </si>
  <si>
    <t>Averrhoa_carambola</t>
  </si>
  <si>
    <t>Star Fruit</t>
  </si>
  <si>
    <t>Carambole</t>
  </si>
  <si>
    <t>Carambolier</t>
  </si>
  <si>
    <t>Averrhoa carambola</t>
  </si>
  <si>
    <t>Bactris_gasipaes</t>
  </si>
  <si>
    <t>Peach Palm</t>
  </si>
  <si>
    <t>Pêche Palmier</t>
  </si>
  <si>
    <t>Bactris gasipaes</t>
  </si>
  <si>
    <t>Bambusa_glaucophylla</t>
  </si>
  <si>
    <t>Malay Dwarf Bamboo</t>
  </si>
  <si>
    <t>Bambou nain malais</t>
  </si>
  <si>
    <t>Bambusa glaucophylla</t>
  </si>
  <si>
    <t>Bambusa_malingensis</t>
  </si>
  <si>
    <t>Sea Breeze Bamboo</t>
  </si>
  <si>
    <t>Bambou brise marine</t>
  </si>
  <si>
    <t>Bambusa malingensis</t>
  </si>
  <si>
    <t>Bambusa_sp.</t>
  </si>
  <si>
    <t>Ladyfinger Bamboo</t>
  </si>
  <si>
    <t>Bambou Doigt de Dame</t>
  </si>
  <si>
    <t>Bambusa sp.</t>
  </si>
  <si>
    <t>Bambusa_textilis</t>
  </si>
  <si>
    <t>Graceful Bamboo</t>
  </si>
  <si>
    <t>Bambou gracieux</t>
  </si>
  <si>
    <t>Bambusa textilis</t>
  </si>
  <si>
    <t>Brassica_carinata</t>
  </si>
  <si>
    <t>Ethiopian Mustard/Kale</t>
  </si>
  <si>
    <t>Moutarde/chou frisé éthiopien</t>
  </si>
  <si>
    <t>Brassica carinata</t>
  </si>
  <si>
    <t>Brassica_oleracea_var._acephala</t>
  </si>
  <si>
    <t>Kale</t>
  </si>
  <si>
    <t>chou frisé</t>
  </si>
  <si>
    <t>Brassica oleracea var. acephala</t>
  </si>
  <si>
    <t>Bunchiosa_sp.</t>
  </si>
  <si>
    <t>Peanut Butter Fruit</t>
  </si>
  <si>
    <t>Fruits au beurre de cacahuète</t>
  </si>
  <si>
    <t>Bunchiosa sp.</t>
  </si>
  <si>
    <t>Cajanus_cajan</t>
  </si>
  <si>
    <t>Pigeon Pea</t>
  </si>
  <si>
    <t>Pois d'Angole</t>
  </si>
  <si>
    <t>Cajanus cajan</t>
  </si>
  <si>
    <t>Capsicum_annum</t>
  </si>
  <si>
    <t>Bell Pepper</t>
  </si>
  <si>
    <t>Poivron</t>
  </si>
  <si>
    <t>Capsicum annum</t>
  </si>
  <si>
    <t>Capsicum_chinense</t>
  </si>
  <si>
    <t>Habanero Pepper</t>
  </si>
  <si>
    <t>Poivre de Habanero</t>
  </si>
  <si>
    <t>Capsicum chinense</t>
  </si>
  <si>
    <t>Carica_papaya</t>
  </si>
  <si>
    <t>Papaya</t>
  </si>
  <si>
    <t>Papaye</t>
  </si>
  <si>
    <t>Carica papaya</t>
  </si>
  <si>
    <t>Carissa_macrocarpa</t>
  </si>
  <si>
    <t>Natal Plum</t>
  </si>
  <si>
    <t>Prune du Natal</t>
  </si>
  <si>
    <t>Carissa macrocarpa</t>
  </si>
  <si>
    <t>Casimiroa_edulis</t>
  </si>
  <si>
    <t>White Sapote</t>
  </si>
  <si>
    <t>Sapote blanche</t>
  </si>
  <si>
    <t>Casimiroa edulis</t>
  </si>
  <si>
    <t>Celosia_argentea</t>
  </si>
  <si>
    <t>Lagos Spinach</t>
  </si>
  <si>
    <t>Épinards de Lagos</t>
  </si>
  <si>
    <t>Celosia argentea</t>
  </si>
  <si>
    <t>Chrysobalanus_icaco</t>
  </si>
  <si>
    <t>Coco Plum</t>
  </si>
  <si>
    <t>Coco Prune</t>
  </si>
  <si>
    <t>Chrysobalanus icaco</t>
  </si>
  <si>
    <t>Chrysophyllum_cainito</t>
  </si>
  <si>
    <t>Star Apple</t>
  </si>
  <si>
    <t>Pomme étoilée</t>
  </si>
  <si>
    <t>Chrysophyllum cainito</t>
  </si>
  <si>
    <t>Citrullus_lanatus</t>
  </si>
  <si>
    <t>Watermelon</t>
  </si>
  <si>
    <t>Pastèque</t>
  </si>
  <si>
    <t>Citrullus lanatus</t>
  </si>
  <si>
    <t>Cnidoscolus_aconitifolius</t>
  </si>
  <si>
    <t>Chaya</t>
  </si>
  <si>
    <t>Cnidoscolus aconitifolius</t>
  </si>
  <si>
    <t>Cola_acuminata</t>
  </si>
  <si>
    <t>Kola Nut</t>
  </si>
  <si>
    <t>Noix de Kola</t>
  </si>
  <si>
    <t>Cola acuminata</t>
  </si>
  <si>
    <t>Coleus_amboinicus</t>
  </si>
  <si>
    <t>Cuban Oregano</t>
  </si>
  <si>
    <t>Origan cubain</t>
  </si>
  <si>
    <t>Coleus amboinicus</t>
  </si>
  <si>
    <t>Coleus_caninus</t>
  </si>
  <si>
    <t>Tropical Oregano (Panadol)</t>
  </si>
  <si>
    <t>Origan tropical (Panadol)</t>
  </si>
  <si>
    <t>Coleus caninus</t>
  </si>
  <si>
    <t>Corchorus_olitorius</t>
  </si>
  <si>
    <t>Jute</t>
  </si>
  <si>
    <t>Corchorus olitorius</t>
  </si>
  <si>
    <t>Cucumis_melo</t>
  </si>
  <si>
    <t>Cantaloupe</t>
  </si>
  <si>
    <t>Cantaloup</t>
  </si>
  <si>
    <t>Cucumis melo</t>
  </si>
  <si>
    <t>Cucurbita_maxima</t>
  </si>
  <si>
    <t>Squash</t>
  </si>
  <si>
    <t>Cucurbita maxima</t>
  </si>
  <si>
    <t>Cucurbita_pepo</t>
  </si>
  <si>
    <t>Zucchini</t>
  </si>
  <si>
    <t>Courgettes</t>
  </si>
  <si>
    <t>Cucurbita pepo</t>
  </si>
  <si>
    <t>Cucurbitaceae_sp.</t>
  </si>
  <si>
    <t>Egusi Melon</t>
  </si>
  <si>
    <t>Melon Egusi</t>
  </si>
  <si>
    <t>Cucurbitaceae sp.</t>
  </si>
  <si>
    <t>Curcuma_amada</t>
  </si>
  <si>
    <t>Mango Ginger</t>
  </si>
  <si>
    <t>Mangue Gingembre</t>
  </si>
  <si>
    <t>Curcuma amada</t>
  </si>
  <si>
    <t>Curcuma_caesia</t>
  </si>
  <si>
    <t>Black Turmeric</t>
  </si>
  <si>
    <t>Curcuma noir</t>
  </si>
  <si>
    <t>Curcuma caesia</t>
  </si>
  <si>
    <t>Curcuma_longa</t>
  </si>
  <si>
    <t>Turmeric</t>
  </si>
  <si>
    <t>Curcuma</t>
  </si>
  <si>
    <t>Curcuma longa</t>
  </si>
  <si>
    <t>Cyphomandra_betacea</t>
  </si>
  <si>
    <t>Tree Tomato</t>
  </si>
  <si>
    <t>Tomate arbustive</t>
  </si>
  <si>
    <t>Cyphomandra betacea</t>
  </si>
  <si>
    <t>Dendrocalamus_giganteus</t>
  </si>
  <si>
    <t>Giant Bamboo</t>
  </si>
  <si>
    <t>Bambou géant</t>
  </si>
  <si>
    <t>Dendrocalamus giganteus</t>
  </si>
  <si>
    <t>Dimocarpus_longan</t>
  </si>
  <si>
    <t>Longan</t>
  </si>
  <si>
    <t>Longane</t>
  </si>
  <si>
    <t>Dimocarpus longan</t>
  </si>
  <si>
    <t>Diospyros_blancoi</t>
  </si>
  <si>
    <t>Velvet Persimmon</t>
  </si>
  <si>
    <t>Kaki Velours</t>
  </si>
  <si>
    <t>Diospyros blancoi</t>
  </si>
  <si>
    <t>Diospyros_kaki</t>
  </si>
  <si>
    <t>Asian Persimmon</t>
  </si>
  <si>
    <t>Kaki asiatique</t>
  </si>
  <si>
    <t>Diospyros kaki</t>
  </si>
  <si>
    <t>Diospyros_nigra</t>
  </si>
  <si>
    <t>Black Sapote</t>
  </si>
  <si>
    <t>Sapote noire</t>
  </si>
  <si>
    <t>Diospyros nigra</t>
  </si>
  <si>
    <t>Diospyros_sp.</t>
  </si>
  <si>
    <t>Persimmon</t>
  </si>
  <si>
    <t>Kaki</t>
  </si>
  <si>
    <t>Diospyros sp.</t>
  </si>
  <si>
    <t>Durio_zibethinus</t>
  </si>
  <si>
    <t>Durian</t>
  </si>
  <si>
    <t>Durio zibethinus</t>
  </si>
  <si>
    <t>Eriobotrya_japonica</t>
  </si>
  <si>
    <t>Loquat</t>
  </si>
  <si>
    <t>Néflier</t>
  </si>
  <si>
    <t>Eriobotrya japonica</t>
  </si>
  <si>
    <t>Eugenia_brasiliensis</t>
  </si>
  <si>
    <t>Grumichama Cherry (brasiliensis)</t>
  </si>
  <si>
    <t>Cerise Grumichama (brasiliensis)</t>
  </si>
  <si>
    <t>Eugenia brasiliensis</t>
  </si>
  <si>
    <t>Eugenia_dombeyi</t>
  </si>
  <si>
    <t>Grumichama Cherry (dombeyi)</t>
  </si>
  <si>
    <t>Cerise Grumichama (dombeyi)</t>
  </si>
  <si>
    <t>Eugenia dombeyi</t>
  </si>
  <si>
    <t>Eugenia_involucrata</t>
  </si>
  <si>
    <t>Cherry of the Rio Grande</t>
  </si>
  <si>
    <t>Cerise du Rio Grande</t>
  </si>
  <si>
    <t>Eugenia involucrata</t>
  </si>
  <si>
    <t>Eugenia_selloi_</t>
  </si>
  <si>
    <t>Pitangatuba</t>
  </si>
  <si>
    <t>Eugenia selloi</t>
  </si>
  <si>
    <t>Eugenia_sp.</t>
  </si>
  <si>
    <t>Eugenia</t>
  </si>
  <si>
    <t>Eugénie</t>
  </si>
  <si>
    <t>Eugenia sp.</t>
  </si>
  <si>
    <t>Eugenia_uniflora</t>
  </si>
  <si>
    <t>Surinam Cherry</t>
  </si>
  <si>
    <t>Cerise du Suriname</t>
  </si>
  <si>
    <t>Eugenia uniflora</t>
  </si>
  <si>
    <t>Ficus_carica</t>
  </si>
  <si>
    <t>Fig</t>
  </si>
  <si>
    <t>figue</t>
  </si>
  <si>
    <t>Ficus carica</t>
  </si>
  <si>
    <t>Ficus_sp.</t>
  </si>
  <si>
    <t>Ficus</t>
  </si>
  <si>
    <t>Ficus sp.</t>
  </si>
  <si>
    <t>Garcinia_humilis</t>
  </si>
  <si>
    <t>Achacha</t>
  </si>
  <si>
    <t>Garcinia humilis</t>
  </si>
  <si>
    <t>Garcinia_mangostana</t>
  </si>
  <si>
    <t>Mangosteen</t>
  </si>
  <si>
    <t>Mangoustan</t>
  </si>
  <si>
    <t>Garcinia mangostana</t>
  </si>
  <si>
    <t>Glebionis_coronaria</t>
  </si>
  <si>
    <t>Edible Chrysanthemum</t>
  </si>
  <si>
    <t>Chrysanthème comestible</t>
  </si>
  <si>
    <t>Glebionis coronaria</t>
  </si>
  <si>
    <t>Gynura_bicolor</t>
  </si>
  <si>
    <t>Okinawa Spinach</t>
  </si>
  <si>
    <t>Épinards d'Okinawa</t>
  </si>
  <si>
    <t>Gynura bicolor</t>
  </si>
  <si>
    <t>Gynura_procumbens</t>
  </si>
  <si>
    <t>Longevity Spinach</t>
  </si>
  <si>
    <t>Épinards de longévité</t>
  </si>
  <si>
    <t>Gynura procumbens</t>
  </si>
  <si>
    <t>Hylocereus_polyrhizus</t>
  </si>
  <si>
    <t>Dragon Fruit</t>
  </si>
  <si>
    <t>Fruit du dragon</t>
  </si>
  <si>
    <t>Hylocereus polyrhizus</t>
  </si>
  <si>
    <t>Inga_edulis</t>
  </si>
  <si>
    <t>Ice Cream Bean</t>
  </si>
  <si>
    <t>Haricot glacé</t>
  </si>
  <si>
    <t>Inga edulis</t>
  </si>
  <si>
    <t>Inga_sp.</t>
  </si>
  <si>
    <t>Inga</t>
  </si>
  <si>
    <t>Inga sp.</t>
  </si>
  <si>
    <t>Ipomoea_batatas</t>
  </si>
  <si>
    <t>Sweet Potato</t>
  </si>
  <si>
    <t>Patate douce</t>
  </si>
  <si>
    <t>Ipomoea batatas</t>
  </si>
  <si>
    <t>Jatropha_Curcas</t>
  </si>
  <si>
    <t>Jatropha</t>
  </si>
  <si>
    <t>Jatropha Curcas</t>
  </si>
  <si>
    <t>Lactuca_indica</t>
  </si>
  <si>
    <t>Indian Lettuce</t>
  </si>
  <si>
    <t>Laitue indienne</t>
  </si>
  <si>
    <t>Lactuca indica</t>
  </si>
  <si>
    <t>Leucaena_leucocephala</t>
  </si>
  <si>
    <t>Leucaena</t>
  </si>
  <si>
    <t>Leucaena leucocephala</t>
  </si>
  <si>
    <t>Litchi_chinensis</t>
  </si>
  <si>
    <t>Lychee</t>
  </si>
  <si>
    <t>Litchi</t>
  </si>
  <si>
    <t>Litchi chinensis</t>
  </si>
  <si>
    <t>Malpighia_emarginata</t>
  </si>
  <si>
    <t>Barbados Cherry</t>
  </si>
  <si>
    <t>Cerise de la Barbade</t>
  </si>
  <si>
    <t>Malpighia emarginata</t>
  </si>
  <si>
    <t>Mammea_americana</t>
  </si>
  <si>
    <t>Tropical Apricot/Mamey Apple</t>
  </si>
  <si>
    <t>Abricot Tropical/Pomme Mamey</t>
  </si>
  <si>
    <t>Mammea americana</t>
  </si>
  <si>
    <t>Mangifera_indica</t>
  </si>
  <si>
    <t>Mango</t>
  </si>
  <si>
    <t>mangue</t>
  </si>
  <si>
    <t>Mangifera indica</t>
  </si>
  <si>
    <t>Manilkara_zapota</t>
  </si>
  <si>
    <t>Sapodilla</t>
  </si>
  <si>
    <t>Sapotille</t>
  </si>
  <si>
    <t>Manilkara zapota</t>
  </si>
  <si>
    <t>Moringa_oleifera</t>
  </si>
  <si>
    <t>Moringa</t>
  </si>
  <si>
    <t>Moringa oleifera</t>
  </si>
  <si>
    <t>Morus_alba</t>
  </si>
  <si>
    <t>White Mulberry</t>
  </si>
  <si>
    <t>Mûrier Blanc</t>
  </si>
  <si>
    <t>Morus alba</t>
  </si>
  <si>
    <t>Morus_sp.</t>
  </si>
  <si>
    <t>Mulberry</t>
  </si>
  <si>
    <t>Mûre</t>
  </si>
  <si>
    <t>Morus sp.</t>
  </si>
  <si>
    <t>Muntingia_sp.</t>
  </si>
  <si>
    <t>Cotton Candy Berry</t>
  </si>
  <si>
    <t>Baie de barbe à papa</t>
  </si>
  <si>
    <t>Muntingia sp.</t>
  </si>
  <si>
    <t>Myrciaria_glazioviana</t>
  </si>
  <si>
    <t>Yellow Jaboticaba</t>
  </si>
  <si>
    <t>Jaboticaba jaune</t>
  </si>
  <si>
    <t>Myrciaria glazioviana</t>
  </si>
  <si>
    <t>Myrciaria_vexator</t>
  </si>
  <si>
    <t>Blue Grape Tree</t>
  </si>
  <si>
    <t>Raisin bleu</t>
  </si>
  <si>
    <t>Myrciaria vexator</t>
  </si>
  <si>
    <t>Nephelium_lappaceum</t>
  </si>
  <si>
    <t>Rambutan</t>
  </si>
  <si>
    <t>Ramboutan</t>
  </si>
  <si>
    <t>Nephelium lappaceum</t>
  </si>
  <si>
    <t>Nephelium_mutabile</t>
  </si>
  <si>
    <t>Pulasan</t>
  </si>
  <si>
    <t>Nephelium mutabile</t>
  </si>
  <si>
    <t>Nephelium_sp.</t>
  </si>
  <si>
    <t>Nephelium</t>
  </si>
  <si>
    <t>Néphélium</t>
  </si>
  <si>
    <t>Nephelium sp.</t>
  </si>
  <si>
    <t>Opuntia_sp.</t>
  </si>
  <si>
    <t>Prickly Pear</t>
  </si>
  <si>
    <t>Figue de Barbarie</t>
  </si>
  <si>
    <t>Opuntia sp.</t>
  </si>
  <si>
    <t>Pachira_glabra</t>
  </si>
  <si>
    <t>Money Tree</t>
  </si>
  <si>
    <t>Arbre à argent</t>
  </si>
  <si>
    <t>Pachira glabra</t>
  </si>
  <si>
    <t>Parkia_biglobosa</t>
  </si>
  <si>
    <t>African Locust Bean</t>
  </si>
  <si>
    <t>Caroube africaine</t>
  </si>
  <si>
    <t>Parkia biglobosa</t>
  </si>
  <si>
    <t>Passiflora_edulis</t>
  </si>
  <si>
    <t>Passion Fruit</t>
  </si>
  <si>
    <t>Fruit de la passion</t>
  </si>
  <si>
    <t>Passiflora edulis</t>
  </si>
  <si>
    <t>Passiflora_ligularis</t>
  </si>
  <si>
    <t>Sweet Grenadilla</t>
  </si>
  <si>
    <t>Grenadille douce</t>
  </si>
  <si>
    <t>Passiflora ligularis</t>
  </si>
  <si>
    <t>Passiflora_quadrangularis</t>
  </si>
  <si>
    <t>Giant Granadilla</t>
  </si>
  <si>
    <t>Grenadille géante</t>
  </si>
  <si>
    <t>Passiflora quadrangularis</t>
  </si>
  <si>
    <t>Passiflora_sp.</t>
  </si>
  <si>
    <t>Passiflora</t>
  </si>
  <si>
    <t>Passiflore</t>
  </si>
  <si>
    <t>Passiflora sp.</t>
  </si>
  <si>
    <t>Avocado</t>
  </si>
  <si>
    <t>Avocat</t>
  </si>
  <si>
    <t>Persea americana</t>
  </si>
  <si>
    <t>Phaseolus_coccineus</t>
  </si>
  <si>
    <t>Runner Bean</t>
  </si>
  <si>
    <t>Haricot à rames</t>
  </si>
  <si>
    <t>Phaseolus coccineus</t>
  </si>
  <si>
    <t>Phaseolus_lunatus</t>
  </si>
  <si>
    <t>Lima Bean</t>
  </si>
  <si>
    <t>Haricot de Lima</t>
  </si>
  <si>
    <t>Phaseolus lunatus</t>
  </si>
  <si>
    <t>Phaseolus_vulgaris</t>
  </si>
  <si>
    <t>Bean</t>
  </si>
  <si>
    <t>Haricot</t>
  </si>
  <si>
    <t>Phaseolus vulgaris</t>
  </si>
  <si>
    <t>Piliostigma_thonningii</t>
  </si>
  <si>
    <t>Camel's Foot Tree</t>
  </si>
  <si>
    <t>Arbre pied de chameau</t>
  </si>
  <si>
    <t>Piliostigma thonningii</t>
  </si>
  <si>
    <t>Piper_nigrum</t>
  </si>
  <si>
    <t>Black Pepper</t>
  </si>
  <si>
    <t>Poivre noir</t>
  </si>
  <si>
    <t>Piper nigrum</t>
  </si>
  <si>
    <t>Pisum_sativum_var._saccharatum</t>
  </si>
  <si>
    <t>Snow Pea</t>
  </si>
  <si>
    <t>Pois mange-tout</t>
  </si>
  <si>
    <t>Pisum sativum var. saccharatum</t>
  </si>
  <si>
    <t>Plinia_cauliflora</t>
  </si>
  <si>
    <t>Jaboticaba</t>
  </si>
  <si>
    <t>Plinia cauliflora</t>
  </si>
  <si>
    <t>Plinia_edulis</t>
  </si>
  <si>
    <t>Cambucá</t>
  </si>
  <si>
    <t>Cambuca</t>
  </si>
  <si>
    <t>Plinia edulis</t>
  </si>
  <si>
    <t>Plinia_rivularis</t>
  </si>
  <si>
    <t>Rivularis</t>
  </si>
  <si>
    <t>Plinia rivularis</t>
  </si>
  <si>
    <t>Pouteria_caimito</t>
  </si>
  <si>
    <t>Abiu</t>
  </si>
  <si>
    <t>Pouteria caimito</t>
  </si>
  <si>
    <t>Pouteria_campechiana</t>
  </si>
  <si>
    <t>Canistel</t>
  </si>
  <si>
    <t>Pouteria campechiana</t>
  </si>
  <si>
    <t>Pouteria_hypoglauca</t>
  </si>
  <si>
    <t>Cinnamon Apple</t>
  </si>
  <si>
    <t>Pomme cannelle</t>
  </si>
  <si>
    <t>Pouteria hypoglauca</t>
  </si>
  <si>
    <t>Pouteria_sapota</t>
  </si>
  <si>
    <t>Mamey Sapote</t>
  </si>
  <si>
    <t>Pouteria sapota</t>
  </si>
  <si>
    <t>Psidium_guajava</t>
  </si>
  <si>
    <t>Guava</t>
  </si>
  <si>
    <t>Goyave</t>
  </si>
  <si>
    <t>Psidium guajava</t>
  </si>
  <si>
    <t>Punica_granatum</t>
  </si>
  <si>
    <t>Pomegranate</t>
  </si>
  <si>
    <t>Grenade</t>
  </si>
  <si>
    <t>Grenadier</t>
  </si>
  <si>
    <t>Punica granatum</t>
  </si>
  <si>
    <t>Sauropus_androgynus</t>
  </si>
  <si>
    <t>Katuk</t>
  </si>
  <si>
    <t>Katouk</t>
  </si>
  <si>
    <t>Sauropus androgynus</t>
  </si>
  <si>
    <t>Selenicereus_megalanthus</t>
  </si>
  <si>
    <t>Yellow Dragon Fruit</t>
  </si>
  <si>
    <t>Fruit du dragon jaune</t>
  </si>
  <si>
    <t>Selenicereus megalanthus</t>
  </si>
  <si>
    <t>Solanum_lycopersicum</t>
  </si>
  <si>
    <t>Tomato</t>
  </si>
  <si>
    <t>Tomate</t>
  </si>
  <si>
    <t>Solanum lycopersicum</t>
  </si>
  <si>
    <t>Solanum_pimpinellifolium</t>
  </si>
  <si>
    <t>Everglades/Currant Tomato</t>
  </si>
  <si>
    <t>Everglades/Tomate Groseille</t>
  </si>
  <si>
    <t>Solanum pimpinellifolium</t>
  </si>
  <si>
    <t>Spondias_dulcis</t>
  </si>
  <si>
    <t>June Plum</t>
  </si>
  <si>
    <t>Prune de juin</t>
  </si>
  <si>
    <t>Spondias dulcis</t>
  </si>
  <si>
    <t>Spondias_purpurea</t>
  </si>
  <si>
    <t>Mombin</t>
  </si>
  <si>
    <t>Maman</t>
  </si>
  <si>
    <t>Prunier d'Espagne</t>
  </si>
  <si>
    <t>Spondias purpurea</t>
  </si>
  <si>
    <t>Synsepalum_dulcificum</t>
  </si>
  <si>
    <t>Miracle Berry</t>
  </si>
  <si>
    <t>Baie miracle</t>
  </si>
  <si>
    <t>Synsepalum dulcificum</t>
  </si>
  <si>
    <t>Syzygium_malaccense</t>
  </si>
  <si>
    <t>Malay Apple</t>
  </si>
  <si>
    <t>Pomme malaise</t>
  </si>
  <si>
    <t>Pomme Malaisienne</t>
  </si>
  <si>
    <t>Syzygium malaccense</t>
  </si>
  <si>
    <t>Talinum_paniculatum</t>
  </si>
  <si>
    <t>Jewels of Opar</t>
  </si>
  <si>
    <t>Joyaux d'Opar</t>
  </si>
  <si>
    <t>Talinum paniculatum</t>
  </si>
  <si>
    <t>Tetragonia_tetragonoides</t>
  </si>
  <si>
    <t>New Zealand Spinach</t>
  </si>
  <si>
    <t>Épinards de Nouvelle-Zélande</t>
  </si>
  <si>
    <t>Tetragonia tetragonoides</t>
  </si>
  <si>
    <t>Vanilla_planifolia</t>
  </si>
  <si>
    <t>Vanilla</t>
  </si>
  <si>
    <t>Vanille</t>
  </si>
  <si>
    <t>Vanilla planifolia</t>
  </si>
  <si>
    <t>Vanilla_tahitensis</t>
  </si>
  <si>
    <t>Tahitian Vanilla</t>
  </si>
  <si>
    <t>Vanille de Tahiti</t>
  </si>
  <si>
    <t>Vanilla tahitensis</t>
  </si>
  <si>
    <t>Vigna_unguiculata</t>
  </si>
  <si>
    <t>Cowpea</t>
  </si>
  <si>
    <t>Niébé</t>
  </si>
  <si>
    <t>Vigna unguiculata</t>
  </si>
  <si>
    <t>Vigna_unguiculata_subsp._sesquipedalis</t>
  </si>
  <si>
    <t>Long Bean</t>
  </si>
  <si>
    <t>Haricot long</t>
  </si>
  <si>
    <t>Vigna unguiculata subsp. sesquipedalis</t>
  </si>
  <si>
    <t>Zea_mays</t>
  </si>
  <si>
    <t>Corn</t>
  </si>
  <si>
    <t>Maïs</t>
  </si>
  <si>
    <t>Zea mays</t>
  </si>
  <si>
    <t>Ziziphus_jujuba</t>
  </si>
  <si>
    <t>Jujube</t>
  </si>
  <si>
    <t>Ziziphus jujuba</t>
  </si>
  <si>
    <t>colorette</t>
  </si>
  <si>
    <t>Colorette</t>
  </si>
  <si>
    <t>hernandez</t>
  </si>
  <si>
    <t>Hernandez</t>
  </si>
  <si>
    <t>puerto_rico</t>
  </si>
  <si>
    <t>Puerto Rico</t>
  </si>
  <si>
    <t>Porto Rico</t>
  </si>
  <si>
    <t>tainung</t>
  </si>
  <si>
    <t>Tainung</t>
  </si>
  <si>
    <t>topaz</t>
  </si>
  <si>
    <t>Topaz</t>
  </si>
  <si>
    <t>Topaze</t>
  </si>
  <si>
    <t>painter_cherilata</t>
  </si>
  <si>
    <t>Painter</t>
  </si>
  <si>
    <t>Peintre</t>
  </si>
  <si>
    <t>brown_turkey</t>
  </si>
  <si>
    <t>Brown Turkey</t>
  </si>
  <si>
    <t>Dinde Brune</t>
  </si>
  <si>
    <t>ox</t>
  </si>
  <si>
    <t>Ox</t>
  </si>
  <si>
    <t>seedling</t>
  </si>
  <si>
    <t>Seedling</t>
  </si>
  <si>
    <t>Un Semis</t>
  </si>
  <si>
    <t>elly</t>
  </si>
  <si>
    <t>Elly</t>
  </si>
  <si>
    <t>Annona_squamosa_x_annona_cherimola</t>
  </si>
  <si>
    <t>african_pride</t>
  </si>
  <si>
    <t>African Pride</t>
  </si>
  <si>
    <t>Amarillo</t>
  </si>
  <si>
    <t>PI_497574</t>
  </si>
  <si>
    <t>PI 497574</t>
  </si>
  <si>
    <t>PI_604801</t>
  </si>
  <si>
    <t>PI 604801</t>
  </si>
  <si>
    <t>PI_604803</t>
  </si>
  <si>
    <t>PI 604803</t>
  </si>
  <si>
    <t>PI_604804</t>
  </si>
  <si>
    <t>PI 604804</t>
  </si>
  <si>
    <t>PI_604805</t>
  </si>
  <si>
    <t>PI 604805</t>
  </si>
  <si>
    <t>PI_604806</t>
  </si>
  <si>
    <t>PI 604806</t>
  </si>
  <si>
    <t>PI_604807</t>
  </si>
  <si>
    <t>PI 604807</t>
  </si>
  <si>
    <t>PI_604809</t>
  </si>
  <si>
    <t>PI 604809</t>
  </si>
  <si>
    <t>PI_604811</t>
  </si>
  <si>
    <t>PI 604811</t>
  </si>
  <si>
    <t>PI_604812</t>
  </si>
  <si>
    <t>PI 604812</t>
  </si>
  <si>
    <t>PI_604814</t>
  </si>
  <si>
    <t>PI 604814</t>
  </si>
  <si>
    <t>PI_604818</t>
  </si>
  <si>
    <t>PI 604818</t>
  </si>
  <si>
    <t>PI_604856</t>
  </si>
  <si>
    <t>PI 604856</t>
  </si>
  <si>
    <t>PI_604857</t>
  </si>
  <si>
    <t>PI 604857</t>
  </si>
  <si>
    <t>PI_686984</t>
  </si>
  <si>
    <t>PI 686984</t>
  </si>
  <si>
    <t>banana_crunch</t>
  </si>
  <si>
    <t>Banana Crunch</t>
  </si>
  <si>
    <t>black_gold</t>
  </si>
  <si>
    <t>Black Gold</t>
  </si>
  <si>
    <t>cantaloupe</t>
  </si>
  <si>
    <t>cheena</t>
  </si>
  <si>
    <t>Cheena</t>
  </si>
  <si>
    <t>cochin</t>
  </si>
  <si>
    <t>Cochin</t>
  </si>
  <si>
    <t>j31</t>
  </si>
  <si>
    <t>J31</t>
  </si>
  <si>
    <t>lemon_gold</t>
  </si>
  <si>
    <t>Lemon Gold</t>
  </si>
  <si>
    <t>mai_1</t>
  </si>
  <si>
    <t>Mai 1</t>
  </si>
  <si>
    <t>mai_2_seedling</t>
  </si>
  <si>
    <t>Mai 2 Seedling</t>
  </si>
  <si>
    <t>ns1_seedling</t>
  </si>
  <si>
    <t>NS1 Seedling</t>
  </si>
  <si>
    <t>orange_crush</t>
  </si>
  <si>
    <t>Orange Crush</t>
  </si>
  <si>
    <t>small</t>
  </si>
  <si>
    <t>Small</t>
  </si>
  <si>
    <t>vietnam</t>
  </si>
  <si>
    <t>Vietnam</t>
  </si>
  <si>
    <t>arkin</t>
  </si>
  <si>
    <t>Arkin</t>
  </si>
  <si>
    <t>fwang_twung</t>
  </si>
  <si>
    <t>Fwang Twung</t>
  </si>
  <si>
    <t>kajang</t>
  </si>
  <si>
    <t>Kajang</t>
  </si>
  <si>
    <t>kary</t>
  </si>
  <si>
    <t>Kary</t>
  </si>
  <si>
    <t>lara</t>
  </si>
  <si>
    <t>Lara</t>
  </si>
  <si>
    <t>punta_gorda</t>
  </si>
  <si>
    <t>Punta Gorda</t>
  </si>
  <si>
    <t>sri_kembangan</t>
  </si>
  <si>
    <t>Sri Kembangan</t>
  </si>
  <si>
    <t>burgess</t>
  </si>
  <si>
    <t>Burgess</t>
  </si>
  <si>
    <t>morado_-_grafted</t>
  </si>
  <si>
    <t>Morado</t>
  </si>
  <si>
    <t>black_beauty_zucchini</t>
  </si>
  <si>
    <t>Black Beauty</t>
  </si>
  <si>
    <t>white/mango_turmeric</t>
  </si>
  <si>
    <t>White/Mango Turmeric</t>
  </si>
  <si>
    <t>giant_quail_clone</t>
  </si>
  <si>
    <t>Giant Quail Clone</t>
  </si>
  <si>
    <t>big_boi</t>
  </si>
  <si>
    <t>Big Boi</t>
  </si>
  <si>
    <t>bq_bue_que,_biew_kiew,_beow_keow</t>
  </si>
  <si>
    <t>Bq Bue Que, Biew Kiew, Beow Keow</t>
  </si>
  <si>
    <t>kohala</t>
  </si>
  <si>
    <t>Kohala</t>
  </si>
  <si>
    <t>sri_champoo</t>
  </si>
  <si>
    <t>Sri Champoo</t>
  </si>
  <si>
    <t>alargado</t>
  </si>
  <si>
    <t>Alargado</t>
  </si>
  <si>
    <t>Diospyros_digyna</t>
  </si>
  <si>
    <t>black_beauty</t>
  </si>
  <si>
    <t>wilson_black_sapote</t>
  </si>
  <si>
    <t>Wilson</t>
  </si>
  <si>
    <t>fuyu</t>
  </si>
  <si>
    <t>Fuyu</t>
  </si>
  <si>
    <t>hachiya</t>
  </si>
  <si>
    <t>Hachiya</t>
  </si>
  <si>
    <t>jiro</t>
  </si>
  <si>
    <t xml:space="preserve">Jiro </t>
  </si>
  <si>
    <t>matsumoto</t>
  </si>
  <si>
    <t>Matsumoto</t>
  </si>
  <si>
    <t>suruga</t>
  </si>
  <si>
    <t>Suruga</t>
  </si>
  <si>
    <t>triumph</t>
  </si>
  <si>
    <t>Triumph</t>
  </si>
  <si>
    <t>golden_nugget</t>
  </si>
  <si>
    <t>Golden Nugget</t>
  </si>
  <si>
    <t>astoria_green</t>
  </si>
  <si>
    <t>Astoria Green</t>
  </si>
  <si>
    <t>battaglia_green</t>
  </si>
  <si>
    <t>Battaglia Green</t>
  </si>
  <si>
    <t>beers_black</t>
  </si>
  <si>
    <t>Beers Black</t>
  </si>
  <si>
    <t>belifore_white_kadota</t>
  </si>
  <si>
    <t>Belifore White Kadota</t>
  </si>
  <si>
    <t>constatine_de_algerie</t>
  </si>
  <si>
    <t>Constatine de Algerie</t>
  </si>
  <si>
    <t>golden_riverside</t>
  </si>
  <si>
    <t>Golden Riverside</t>
  </si>
  <si>
    <t>izbat_an_naj</t>
  </si>
  <si>
    <t>Izbat An Naj</t>
  </si>
  <si>
    <t>lsu_gold</t>
  </si>
  <si>
    <t>LSU Gold</t>
  </si>
  <si>
    <t>ponte_tresa</t>
  </si>
  <si>
    <t>Ponte Tresa</t>
  </si>
  <si>
    <t>strawberry_verte</t>
  </si>
  <si>
    <t>Strawberry Verte</t>
  </si>
  <si>
    <t>early_violet</t>
  </si>
  <si>
    <t>Early Violet</t>
  </si>
  <si>
    <t>Ficus_carica </t>
  </si>
  <si>
    <t>ischia_green</t>
  </si>
  <si>
    <t>Ischia Green</t>
  </si>
  <si>
    <t>sucrette</t>
  </si>
  <si>
    <t>Sucrette</t>
  </si>
  <si>
    <t>wild_costa_rican_(rootstock)</t>
  </si>
  <si>
    <t>Wild Costa Rican (Rootstock)</t>
  </si>
  <si>
    <t>kx2_hawaii</t>
  </si>
  <si>
    <t>Kx2 Hawaii</t>
  </si>
  <si>
    <t>Leucaena_pallida_x_L._leucocephala</t>
  </si>
  <si>
    <t>hakip</t>
  </si>
  <si>
    <t>Hakip</t>
  </si>
  <si>
    <t>sweetheart</t>
  </si>
  <si>
    <t>Sweetheart</t>
  </si>
  <si>
    <t>tesoro</t>
  </si>
  <si>
    <t>Tesoro</t>
  </si>
  <si>
    <t>mahdu</t>
  </si>
  <si>
    <t>Mahdu</t>
  </si>
  <si>
    <t>malika_</t>
  </si>
  <si>
    <t xml:space="preserve">Malika </t>
  </si>
  <si>
    <t>nom_doc_mai</t>
  </si>
  <si>
    <t>Nom Doc Mai</t>
  </si>
  <si>
    <t>alano</t>
  </si>
  <si>
    <t>Alano</t>
  </si>
  <si>
    <t>brown_sugar</t>
  </si>
  <si>
    <t>Brown Sugar</t>
  </si>
  <si>
    <t>butterscotch_</t>
  </si>
  <si>
    <t xml:space="preserve">Butterscotch </t>
  </si>
  <si>
    <t>campechiana</t>
  </si>
  <si>
    <t>Campechiana</t>
  </si>
  <si>
    <t>makok</t>
  </si>
  <si>
    <t>Makok</t>
  </si>
  <si>
    <t>molix</t>
  </si>
  <si>
    <t>Molix</t>
  </si>
  <si>
    <t>morena</t>
  </si>
  <si>
    <t>Morena</t>
  </si>
  <si>
    <t>tikal</t>
  </si>
  <si>
    <t>Tikal</t>
  </si>
  <si>
    <t>varigated</t>
  </si>
  <si>
    <t>Varigated</t>
  </si>
  <si>
    <t>dwarf_everbearing</t>
  </si>
  <si>
    <t>Dwarf Everbearing</t>
  </si>
  <si>
    <t>late_white</t>
  </si>
  <si>
    <t>Late White</t>
  </si>
  <si>
    <t>long_white</t>
  </si>
  <si>
    <t>Long White</t>
  </si>
  <si>
    <t>sweet_sunrise_-yellow</t>
  </si>
  <si>
    <t>Sweet Sunrise -Yellow</t>
  </si>
  <si>
    <t>Passiflora_edulis_f_flavicarpa</t>
  </si>
  <si>
    <t>australia</t>
  </si>
  <si>
    <t>Australia</t>
  </si>
  <si>
    <t>bacon</t>
  </si>
  <si>
    <t>Bacon</t>
  </si>
  <si>
    <t>bernecker</t>
  </si>
  <si>
    <t>Bernecker</t>
  </si>
  <si>
    <t>brogdon</t>
  </si>
  <si>
    <t>Brogdon</t>
  </si>
  <si>
    <t>brooks_late</t>
  </si>
  <si>
    <t>Brooks Late</t>
  </si>
  <si>
    <t>buck</t>
  </si>
  <si>
    <t>Buck</t>
  </si>
  <si>
    <t>catalina</t>
  </si>
  <si>
    <t>Catalina</t>
  </si>
  <si>
    <t>choquette</t>
  </si>
  <si>
    <t>Choquette</t>
  </si>
  <si>
    <t>day</t>
  </si>
  <si>
    <t>Day</t>
  </si>
  <si>
    <t>donnie</t>
  </si>
  <si>
    <t>Donnie</t>
  </si>
  <si>
    <t>dupuis</t>
  </si>
  <si>
    <t>Dupuis</t>
  </si>
  <si>
    <t>expedition</t>
  </si>
  <si>
    <t>Expedition</t>
  </si>
  <si>
    <t>fantastic</t>
  </si>
  <si>
    <t>Fantastic</t>
  </si>
  <si>
    <t>hardee</t>
  </si>
  <si>
    <t>Hardee</t>
  </si>
  <si>
    <t>havaluu_from_hawaii</t>
  </si>
  <si>
    <t>Havaluu from Hawaii</t>
  </si>
  <si>
    <t>jose_antonio</t>
  </si>
  <si>
    <t>Jose Antonio</t>
  </si>
  <si>
    <t>lila</t>
  </si>
  <si>
    <t>Lila</t>
  </si>
  <si>
    <t>loretta</t>
  </si>
  <si>
    <t>Loretta</t>
  </si>
  <si>
    <t>lula</t>
  </si>
  <si>
    <t>Lula</t>
  </si>
  <si>
    <t>marcus_pumpkin</t>
  </si>
  <si>
    <t>Marcus Pumpkin</t>
  </si>
  <si>
    <t>miguel</t>
  </si>
  <si>
    <t>Miguel</t>
  </si>
  <si>
    <t>monroe</t>
  </si>
  <si>
    <t>Monroe</t>
  </si>
  <si>
    <t>nishikawa</t>
  </si>
  <si>
    <t>Nishikawa</t>
  </si>
  <si>
    <t>oro_negro</t>
  </si>
  <si>
    <t>Oro Negro</t>
  </si>
  <si>
    <t>pollock</t>
  </si>
  <si>
    <t>Pollock</t>
  </si>
  <si>
    <t>ronny</t>
  </si>
  <si>
    <t>Ronny</t>
  </si>
  <si>
    <t>russell</t>
  </si>
  <si>
    <t>Russell</t>
  </si>
  <si>
    <t>simmons</t>
  </si>
  <si>
    <t>Simmons</t>
  </si>
  <si>
    <t>super_hass</t>
  </si>
  <si>
    <t>Super Hass</t>
  </si>
  <si>
    <t>talpeno</t>
  </si>
  <si>
    <t>Talpeno</t>
  </si>
  <si>
    <t>tonnage</t>
  </si>
  <si>
    <t>Tonnage</t>
  </si>
  <si>
    <t>tower_#2</t>
  </si>
  <si>
    <t>Tower #2</t>
  </si>
  <si>
    <t>victoria</t>
  </si>
  <si>
    <t>Victoria</t>
  </si>
  <si>
    <t>waldin</t>
  </si>
  <si>
    <t>Waldin</t>
  </si>
  <si>
    <t>willing</t>
  </si>
  <si>
    <t>Willing</t>
  </si>
  <si>
    <t>wilson</t>
  </si>
  <si>
    <t>winter_mexican</t>
  </si>
  <si>
    <t>Winter Mexican</t>
  </si>
  <si>
    <t>wurtz</t>
  </si>
  <si>
    <t>Wurtz</t>
  </si>
  <si>
    <t>yucatan</t>
  </si>
  <si>
    <t>Yucatan</t>
  </si>
  <si>
    <t>red</t>
  </si>
  <si>
    <t>Red</t>
  </si>
  <si>
    <t>sabara_black</t>
  </si>
  <si>
    <t>Sabara Black</t>
  </si>
  <si>
    <t>arue</t>
  </si>
  <si>
    <t>Arue</t>
  </si>
  <si>
    <t>aurea</t>
  </si>
  <si>
    <t>Aurea</t>
  </si>
  <si>
    <t>bruce</t>
  </si>
  <si>
    <t>Bruce</t>
  </si>
  <si>
    <t>fairchild</t>
  </si>
  <si>
    <t>Fairchild</t>
  </si>
  <si>
    <t>fairchild_#2</t>
  </si>
  <si>
    <t>Fairchild #2</t>
  </si>
  <si>
    <t>oro</t>
  </si>
  <si>
    <t>Oro</t>
  </si>
  <si>
    <t>ross</t>
  </si>
  <si>
    <t>Ross</t>
  </si>
  <si>
    <t>trompo</t>
  </si>
  <si>
    <t>Trompo</t>
  </si>
  <si>
    <t>key_west</t>
  </si>
  <si>
    <t>Key West</t>
  </si>
  <si>
    <t>lorito</t>
  </si>
  <si>
    <t>Lorito</t>
  </si>
  <si>
    <t>magana</t>
  </si>
  <si>
    <t>Magaña</t>
  </si>
  <si>
    <t>pantin</t>
  </si>
  <si>
    <t>Pantin</t>
  </si>
  <si>
    <t>viejo</t>
  </si>
  <si>
    <t>Viejo</t>
  </si>
  <si>
    <t>indonesia</t>
  </si>
  <si>
    <t>Indonesia</t>
  </si>
  <si>
    <t>peruvian_white</t>
  </si>
  <si>
    <t>Peruvian white</t>
  </si>
  <si>
    <t>pink_mexican</t>
  </si>
  <si>
    <t>Pink mexican</t>
  </si>
  <si>
    <t>ruby_supreme</t>
  </si>
  <si>
    <t>Ruby Supreme</t>
  </si>
  <si>
    <t>thai_guava</t>
  </si>
  <si>
    <t>Thai Guava</t>
  </si>
  <si>
    <t>azadi</t>
  </si>
  <si>
    <t>Azadi</t>
  </si>
  <si>
    <t>dwarf_red</t>
  </si>
  <si>
    <t>Dwarf Red</t>
  </si>
  <si>
    <t>hyrdanar_x_kirmizy-akbuh</t>
  </si>
  <si>
    <t>Hyrdanar X Kirmizy-Akbuh</t>
  </si>
  <si>
    <t>orange</t>
  </si>
  <si>
    <t>Orange</t>
  </si>
  <si>
    <t>palermo</t>
  </si>
  <si>
    <t>Palermo</t>
  </si>
  <si>
    <t>salavatski</t>
  </si>
  <si>
    <t>Salavatski</t>
  </si>
  <si>
    <t>vietnamese_pink</t>
  </si>
  <si>
    <t>Vietnamese Pink</t>
  </si>
  <si>
    <t>black_cherry</t>
  </si>
  <si>
    <t>Black Cherry</t>
  </si>
  <si>
    <t>blondkopfchen</t>
  </si>
  <si>
    <t>Blondkopfchen</t>
  </si>
  <si>
    <t>igleheart_yellow_cherry</t>
  </si>
  <si>
    <t>Igleheart Yellow Cherry</t>
  </si>
  <si>
    <t>mexico_midget</t>
  </si>
  <si>
    <t>Mexico Midget</t>
  </si>
  <si>
    <t>white_cherry</t>
  </si>
  <si>
    <t>White Cherry</t>
  </si>
  <si>
    <t>tahitensis</t>
  </si>
  <si>
    <t>Tahitensis</t>
  </si>
  <si>
    <t>black_aztec</t>
  </si>
  <si>
    <t>Black Aztec</t>
  </si>
  <si>
    <t>blue_jade</t>
  </si>
  <si>
    <t>Blue Jade</t>
  </si>
  <si>
    <t>richard_waldron_ladyfinger</t>
  </si>
  <si>
    <t>Ladyfinger 'Richard Waldron'</t>
  </si>
  <si>
    <t>seabreeze</t>
  </si>
  <si>
    <t>Seabreeze</t>
  </si>
  <si>
    <t>graceful_gracilis</t>
  </si>
  <si>
    <t>Graceful 'Gracilis', Weaver's Bamboo</t>
  </si>
  <si>
    <t>malay_dwarf_variegated</t>
  </si>
  <si>
    <t>Malay Dwarf Variegated</t>
  </si>
  <si>
    <t>mammea_americana_fairchild</t>
  </si>
  <si>
    <t>yehuda</t>
  </si>
  <si>
    <t>Yehuda</t>
  </si>
  <si>
    <t>christmas</t>
  </si>
  <si>
    <t>Christmas</t>
  </si>
  <si>
    <t xml:space="preserve">champagne </t>
  </si>
  <si>
    <t>Champagne</t>
  </si>
  <si>
    <t>vista white</t>
  </si>
  <si>
    <t>Vista White</t>
  </si>
  <si>
    <t>bradenton</t>
  </si>
  <si>
    <t>Bradenton</t>
  </si>
  <si>
    <t xml:space="preserve">sherry </t>
  </si>
  <si>
    <t>Sherry</t>
  </si>
  <si>
    <t>silas_woods</t>
  </si>
  <si>
    <t>Silas Woods</t>
  </si>
  <si>
    <t>kampong</t>
  </si>
  <si>
    <t>Kampong</t>
  </si>
  <si>
    <t>peruvian</t>
  </si>
  <si>
    <t>Peruvian</t>
  </si>
  <si>
    <t>thai</t>
  </si>
  <si>
    <t>Thai</t>
  </si>
  <si>
    <t>redlands</t>
  </si>
  <si>
    <t>Redlands</t>
  </si>
  <si>
    <t>pace</t>
  </si>
  <si>
    <t>Pace</t>
  </si>
  <si>
    <t>painter</t>
  </si>
  <si>
    <t>pink_seedling</t>
  </si>
  <si>
    <t>Pink Seedling</t>
  </si>
  <si>
    <t>Psidium_guajava_varigated</t>
  </si>
  <si>
    <t>butterscotch</t>
  </si>
  <si>
    <t>Butterscotch</t>
  </si>
  <si>
    <t>chris's_pink</t>
  </si>
  <si>
    <t>Chris's Pink</t>
  </si>
  <si>
    <t>Plinia_cauliflora_red</t>
  </si>
  <si>
    <t>small_papi</t>
  </si>
  <si>
    <t>Small Papi</t>
  </si>
  <si>
    <t>xains_world_soft_seedling</t>
  </si>
  <si>
    <t>Xains world soft seedling</t>
  </si>
  <si>
    <t>thai_giant</t>
  </si>
  <si>
    <t>Thai giant</t>
  </si>
  <si>
    <t>biew_kiew</t>
  </si>
  <si>
    <t>Biew Kiew</t>
  </si>
  <si>
    <t>mammea_americana_redlands</t>
  </si>
  <si>
    <t>Mammea_Americana</t>
  </si>
  <si>
    <t>kiew_yao</t>
  </si>
  <si>
    <t>Kiew Yao</t>
  </si>
  <si>
    <t>grafted_from_south_miami</t>
  </si>
  <si>
    <t>Grafted from South Miami</t>
  </si>
  <si>
    <t>homestead_prolific</t>
  </si>
  <si>
    <t>Homestead Prolific</t>
  </si>
  <si>
    <t>miami</t>
  </si>
  <si>
    <t>Miami</t>
  </si>
  <si>
    <t>hippolito</t>
  </si>
  <si>
    <t>Hippolito</t>
  </si>
  <si>
    <t>0</t>
  </si>
  <si>
    <t>Cerisier du Brésil</t>
  </si>
  <si>
    <t>Grumichama Cherry</t>
  </si>
  <si>
    <t>Rivilaris</t>
  </si>
  <si>
    <t>Plinia_rivilaris</t>
  </si>
  <si>
    <t>list_sources</t>
  </si>
  <si>
    <t>baker's_creek_heirloom_seeds</t>
  </si>
  <si>
    <t>Baker's Creek Heirloom Seeds</t>
  </si>
  <si>
    <t>crawley’s</t>
  </si>
  <si>
    <t>Crawley’s</t>
  </si>
  <si>
    <t>cvs_and_trader_joes</t>
  </si>
  <si>
    <t>CVS and Trader Joes</t>
  </si>
  <si>
    <t>dr_vernon_-_miami,_fl</t>
  </si>
  <si>
    <t>Dr Vernon - Miami, FL</t>
  </si>
  <si>
    <t>ebay_-_tropical_plantae</t>
  </si>
  <si>
    <t>eBay - Tropical Plantae</t>
  </si>
  <si>
    <t>echo</t>
  </si>
  <si>
    <t>ECHO</t>
  </si>
  <si>
    <t>everglades_farm</t>
  </si>
  <si>
    <t>Everglades Farm</t>
  </si>
  <si>
    <t>excalibur</t>
  </si>
  <si>
    <t>Excalibur</t>
  </si>
  <si>
    <t>figbid</t>
  </si>
  <si>
    <t>FigBid</t>
  </si>
  <si>
    <t>fruit_and_spice_park</t>
  </si>
  <si>
    <t>Fruit and Spice Park</t>
  </si>
  <si>
    <t>fruitscapes</t>
  </si>
  <si>
    <t>Fruitscapes</t>
  </si>
  <si>
    <t>ft._myers_grocery_-_ecuador</t>
  </si>
  <si>
    <t>Ft. Myers Grocery - Ecuador</t>
  </si>
  <si>
    <t>going_bananas</t>
  </si>
  <si>
    <t>Going Bananas</t>
  </si>
  <si>
    <t>grin</t>
  </si>
  <si>
    <t>GRIN</t>
  </si>
  <si>
    <t>lakes_park_farmers_market_myexotics</t>
  </si>
  <si>
    <t>Lakes Park Farmers Market MyExotics</t>
  </si>
  <si>
    <t>Lara Farms</t>
  </si>
  <si>
    <t>lowes</t>
  </si>
  <si>
    <t>Lowes</t>
  </si>
  <si>
    <t>maria_corona_produce_best_farmers_market</t>
  </si>
  <si>
    <t>Maria Corona Produce Best Farmers Market</t>
  </si>
  <si>
    <t>miami_fruit</t>
  </si>
  <si>
    <t>Miami Fruit</t>
  </si>
  <si>
    <t>source_other</t>
  </si>
  <si>
    <t>pine_island_nursery</t>
  </si>
  <si>
    <t>Pine Island Nursery</t>
  </si>
  <si>
    <t>richard_lyons</t>
  </si>
  <si>
    <t>Richard Lyons</t>
  </si>
  <si>
    <t>robert_is_here</t>
  </si>
  <si>
    <t>Robert is Here</t>
  </si>
  <si>
    <t>seed_savers</t>
  </si>
  <si>
    <t>Seed Savers</t>
  </si>
  <si>
    <t>third_insight_designs</t>
  </si>
  <si>
    <t>Third Insight Designs</t>
  </si>
  <si>
    <t>tropical_bamboo_nursery_and_gardens</t>
  </si>
  <si>
    <t>Tropical Bamboo Nursery and Gardens</t>
  </si>
  <si>
    <t>top_tropicals</t>
  </si>
  <si>
    <t>TopTropicals</t>
  </si>
  <si>
    <t>trec</t>
  </si>
  <si>
    <t>TREC</t>
  </si>
  <si>
    <t>xain</t>
  </si>
  <si>
    <t>Xain's World</t>
  </si>
  <si>
    <t>chris_evans</t>
  </si>
  <si>
    <t>Loxahatree</t>
  </si>
  <si>
    <t>leaph_2096949422</t>
  </si>
  <si>
    <t xml:space="preserve">Leaph </t>
  </si>
  <si>
    <t>jim_hightower</t>
  </si>
  <si>
    <t xml:space="preserve">Jimmy Jaboticaba </t>
  </si>
  <si>
    <t>jack_and_the_beanstalk</t>
  </si>
  <si>
    <t>Jack and the Beanstalk</t>
  </si>
  <si>
    <t>loves_nursery</t>
  </si>
  <si>
    <t>Love’s Nursery</t>
  </si>
  <si>
    <t>incredible_edibles</t>
  </si>
  <si>
    <t>Incredible Edibles</t>
  </si>
  <si>
    <t>import</t>
  </si>
  <si>
    <t>Import</t>
  </si>
  <si>
    <t>transplant</t>
  </si>
  <si>
    <t>Transplant</t>
  </si>
  <si>
    <t>Transplantation</t>
  </si>
  <si>
    <t>export</t>
  </si>
  <si>
    <t>Export</t>
  </si>
  <si>
    <t>import_seed</t>
  </si>
  <si>
    <t>import_plant</t>
  </si>
  <si>
    <t>Plant</t>
  </si>
  <si>
    <t>import_tree</t>
  </si>
  <si>
    <t>import_cutting</t>
  </si>
  <si>
    <t>import_scion</t>
  </si>
  <si>
    <t>Scion</t>
  </si>
  <si>
    <t>transplant_50_cells</t>
  </si>
  <si>
    <t>50 Cells</t>
  </si>
  <si>
    <t>transplant_72_cells</t>
  </si>
  <si>
    <t>72 Cells</t>
  </si>
  <si>
    <t>transplant_128_cells</t>
  </si>
  <si>
    <t>128 Cells</t>
  </si>
  <si>
    <t>transplant_small_bag</t>
  </si>
  <si>
    <t>Small Bag</t>
  </si>
  <si>
    <t>transplant_long_bag</t>
  </si>
  <si>
    <t>Long Bag</t>
  </si>
  <si>
    <t>transplant_big_bag</t>
  </si>
  <si>
    <t>Big Bag</t>
  </si>
  <si>
    <t>transplant_10l_bucket</t>
  </si>
  <si>
    <t>transplant_25l_bucket</t>
  </si>
  <si>
    <t>transplant_coyah_bag</t>
  </si>
  <si>
    <t>Coyah Bag</t>
  </si>
  <si>
    <t>export_small_bag</t>
  </si>
  <si>
    <t>export_long_bag</t>
  </si>
  <si>
    <t>export_big_bag</t>
  </si>
  <si>
    <t>export_10l_bucket</t>
  </si>
  <si>
    <t>export_25l_bucket</t>
  </si>
  <si>
    <t>export_coyah_bag</t>
  </si>
  <si>
    <t>terminal</t>
  </si>
  <si>
    <t>import_seed_50_cells</t>
  </si>
  <si>
    <t>import_seed_72_cells</t>
  </si>
  <si>
    <t>import_seed_128_cells</t>
  </si>
  <si>
    <t>import_seed_small_bag</t>
  </si>
  <si>
    <t>import_seed_long_bag</t>
  </si>
  <si>
    <t>import_seed_coyah_bag</t>
  </si>
  <si>
    <t>import_plant_small_bag</t>
  </si>
  <si>
    <t>import_plant_long_bag</t>
  </si>
  <si>
    <t>import_plant_big_bag</t>
  </si>
  <si>
    <t>import_plant_10l_bucket</t>
  </si>
  <si>
    <t>import_tree_small_bag</t>
  </si>
  <si>
    <t>import_tree_long_bag</t>
  </si>
  <si>
    <t>import_tree_big_bag</t>
  </si>
  <si>
    <t>import_tree_10l_bucket</t>
  </si>
  <si>
    <t>import_tree_25l_bucket</t>
  </si>
  <si>
    <t>import_cutting_small_bag</t>
  </si>
  <si>
    <t>import_cutting_long_bag</t>
  </si>
  <si>
    <t>import_cutting_big_bag</t>
  </si>
  <si>
    <t>import_cutting_coyah_bag</t>
  </si>
  <si>
    <t>import_scion_small_bag</t>
  </si>
  <si>
    <t>scion</t>
  </si>
  <si>
    <t>import_scion_long_bag</t>
  </si>
  <si>
    <t>import_scion_big_bag</t>
  </si>
  <si>
    <t>import_scion_10l_bucket</t>
  </si>
  <si>
    <t>import_scion_25l_bucket</t>
  </si>
  <si>
    <t>transplant_50_cells_small_bag</t>
  </si>
  <si>
    <t>50_cells</t>
  </si>
  <si>
    <t>transplant_50_cells_long_bag</t>
  </si>
  <si>
    <t>transplant_50_cells_big_bag</t>
  </si>
  <si>
    <t>transplant_50_cells_10l_bucket</t>
  </si>
  <si>
    <t>transplant_50_cells_25l_bucket</t>
  </si>
  <si>
    <t>transplant_50_cells_coyah_bag</t>
  </si>
  <si>
    <t>transplant_50_cells_ground</t>
  </si>
  <si>
    <t>Ground</t>
  </si>
  <si>
    <t>transplant_72_cells_small_bag</t>
  </si>
  <si>
    <t>72_cells</t>
  </si>
  <si>
    <t>transplant_72_cells_long_bag</t>
  </si>
  <si>
    <t>transplant_72_cells_big_bag</t>
  </si>
  <si>
    <t>transplant_72_cells_10l_bucket</t>
  </si>
  <si>
    <t>transplant_72_cells_25l_bucket</t>
  </si>
  <si>
    <t>transplant_72_cells_coyah_bag</t>
  </si>
  <si>
    <t>transplant_72_cells_ground</t>
  </si>
  <si>
    <t>transplant_128_cells_small_bag</t>
  </si>
  <si>
    <t>128_cells</t>
  </si>
  <si>
    <t>transplant_128_cells_long_bag</t>
  </si>
  <si>
    <t>transplant_128_cells_big_bag</t>
  </si>
  <si>
    <t>transplant_128_cells_10l_bucket</t>
  </si>
  <si>
    <t>transplant_128_cells_25l_bucket</t>
  </si>
  <si>
    <t>transplant_128_cells_coyah_bag</t>
  </si>
  <si>
    <t>transplant_128_cells_ground</t>
  </si>
  <si>
    <t>transplant_small_bag_long_bag</t>
  </si>
  <si>
    <t>small_bag</t>
  </si>
  <si>
    <t>transplant_small_bag_big_bag</t>
  </si>
  <si>
    <t>transplant_small_bag_10l_bucket</t>
  </si>
  <si>
    <t>transplant_small_bag_25l_bucket</t>
  </si>
  <si>
    <t>transplant_small_bag_ground</t>
  </si>
  <si>
    <t>transplant_long_bag_big_bag</t>
  </si>
  <si>
    <t>long_bag</t>
  </si>
  <si>
    <t>transplant_long_bag_25l_bucket</t>
  </si>
  <si>
    <t>transplant_long_bag_ground</t>
  </si>
  <si>
    <t>transplant_big_bag_25l_bucket</t>
  </si>
  <si>
    <t>big_bag</t>
  </si>
  <si>
    <t>transplant_big_bag_ground</t>
  </si>
  <si>
    <t>transplant_10l_bucket_25l_bucket</t>
  </si>
  <si>
    <t>transplant_10l_bucket_ground</t>
  </si>
  <si>
    <t>transplant_25l_bucket_ground</t>
  </si>
  <si>
    <t>transplant_coyah_bag_small_bag</t>
  </si>
  <si>
    <t>coyah_bag</t>
  </si>
  <si>
    <t>transplant_coyah_bag_long_bag</t>
  </si>
  <si>
    <t>transplant_coyah_bag_big_bag</t>
  </si>
  <si>
    <t>transplant_coyah_bag_10l_bucket</t>
  </si>
  <si>
    <t>transplant_coyah_bag_25l_bucket</t>
  </si>
  <si>
    <t>transplant_coyah_bag_coyah_bag</t>
  </si>
  <si>
    <t>transplant_coyah_bag_ground</t>
  </si>
  <si>
    <t>export_small_bag_ground</t>
  </si>
  <si>
    <t>export_long_bag_ground</t>
  </si>
  <si>
    <t>export_big_bag_ground</t>
  </si>
  <si>
    <t>export_10l_bucket_ground</t>
  </si>
  <si>
    <t>export_25l_bucket_ground</t>
  </si>
  <si>
    <t>export_coyah_bag_ground</t>
  </si>
  <si>
    <t>export_small_bag_sold</t>
  </si>
  <si>
    <t>Sold</t>
  </si>
  <si>
    <t>export_long_bag_sold</t>
  </si>
  <si>
    <t>export_big_bag_sold</t>
  </si>
  <si>
    <t>export_10l_bucket_sold</t>
  </si>
  <si>
    <t>export_25l_bucket_sold</t>
  </si>
  <si>
    <t>export_coyah_bag_sold</t>
  </si>
  <si>
    <t>form_title</t>
  </si>
  <si>
    <t>form_id</t>
  </si>
  <si>
    <t>version</t>
  </si>
  <si>
    <t>instance_name</t>
  </si>
  <si>
    <t>default_language</t>
  </si>
  <si>
    <t>style</t>
  </si>
  <si>
    <t>0 🌳 🥑 🥭 🔍</t>
  </si>
  <si>
    <t>Farm_Observations</t>
  </si>
  <si>
    <t>Konyanka (mku)</t>
  </si>
  <si>
    <t>label</t>
  </si>
  <si>
    <t xml:space="preserve"> Getting started with XLSForms</t>
  </si>
  <si>
    <t>Last update</t>
  </si>
  <si>
    <t>License</t>
  </si>
  <si>
    <t>CC BY-SA</t>
  </si>
  <si>
    <t>-   The XLSForm standard lets you create powerful forms for the ODK ecosystem.</t>
  </si>
  <si>
    <t>-   A form is defined using 4 sheets:</t>
  </si>
  <si>
    <r>
      <rPr>
        <rFont val="Roboto"/>
        <color rgb="FF000000"/>
      </rPr>
      <t xml:space="preserve">     -  The </t>
    </r>
    <r>
      <rPr>
        <rFont val="Roboto"/>
        <b/>
        <color rgb="FF000000"/>
      </rPr>
      <t>survey</t>
    </r>
    <r>
      <rPr>
        <rFont val="Roboto"/>
        <color rgb="FF000000"/>
      </rPr>
      <t xml:space="preserve"> sheet defines the questions and logic for your form. It is required.</t>
    </r>
  </si>
  <si>
    <r>
      <rPr>
        <rFont val="Roboto"/>
        <color theme="1"/>
      </rPr>
      <t xml:space="preserve">     -  The </t>
    </r>
    <r>
      <rPr>
        <rFont val="Roboto"/>
        <b/>
        <color theme="1"/>
      </rPr>
      <t>choices</t>
    </r>
    <r>
      <rPr>
        <rFont val="Roboto"/>
        <color theme="1"/>
      </rPr>
      <t xml:space="preserve"> sheet defines choices to use in select questions.</t>
    </r>
  </si>
  <si>
    <r>
      <rPr>
        <rFont val="Roboto"/>
        <color theme="1"/>
      </rPr>
      <t xml:space="preserve">     -  The </t>
    </r>
    <r>
      <rPr>
        <rFont val="Roboto"/>
        <b/>
        <color theme="1"/>
      </rPr>
      <t>settings</t>
    </r>
    <r>
      <rPr>
        <rFont val="Roboto"/>
        <color theme="1"/>
      </rPr>
      <t xml:space="preserve"> sheet defines form metadata and configuration.</t>
    </r>
  </si>
  <si>
    <r>
      <rPr>
        <rFont val="Roboto"/>
        <color theme="1"/>
      </rPr>
      <t xml:space="preserve">     -  The </t>
    </r>
    <r>
      <rPr>
        <rFont val="Roboto"/>
        <b/>
        <color theme="1"/>
      </rPr>
      <t>entities</t>
    </r>
    <r>
      <rPr>
        <rFont val="Roboto"/>
        <color theme="1"/>
      </rPr>
      <t xml:space="preserve"> sheet is used to create entities from form values for use in longitudinal workflows, case management, and more.</t>
    </r>
  </si>
  <si>
    <t>-   The template sheets contain the most common columns. See the Translations and Additional columns sheets for other columns.</t>
  </si>
  <si>
    <t>-   Hover over column names to see a note about how they can be used.</t>
  </si>
  <si>
    <t>-   Columns colored in green on the survey and choices sheets can be translated.</t>
  </si>
  <si>
    <t>💡 Use File &gt; Make a copy to make a copy of this template that you can edit</t>
  </si>
  <si>
    <t xml:space="preserve">💡 Using a consistent column order makes it easier to copy and paste between different form definitions. </t>
  </si>
  <si>
    <t>💡 Consider hiding columns you don't need instead of deleting them.</t>
  </si>
  <si>
    <t>Resources</t>
  </si>
  <si>
    <r>
      <rPr>
        <rFont val="Roboto"/>
        <b/>
      </rPr>
      <t xml:space="preserve">📖 </t>
    </r>
    <r>
      <rPr>
        <rFont val="Roboto"/>
        <b val="0"/>
        <color rgb="FF1155CC"/>
        <u/>
      </rPr>
      <t>ODK form design docs</t>
    </r>
  </si>
  <si>
    <r>
      <rPr>
        <rFont val="Roboto"/>
        <b val="0"/>
      </rPr>
      <t xml:space="preserve">🧵 </t>
    </r>
    <r>
      <rPr>
        <rFont val="Roboto"/>
        <b val="0"/>
        <color rgb="FF1155CC"/>
        <u/>
      </rPr>
      <t>XLSForm tutorial</t>
    </r>
  </si>
  <si>
    <r>
      <rPr>
        <rFont val="Roboto"/>
      </rPr>
      <t xml:space="preserve">💬 </t>
    </r>
    <r>
      <rPr>
        <rFont val="Roboto"/>
        <color rgb="FF1155CC"/>
        <u/>
      </rPr>
      <t>Forum for support</t>
    </r>
  </si>
  <si>
    <r>
      <rPr>
        <rFont val="Roboto"/>
        <b/>
      </rPr>
      <t>💡</t>
    </r>
    <r>
      <rPr>
        <rFont val="Roboto"/>
        <b/>
      </rPr>
      <t xml:space="preserve"> Have ideas for improving this template? Share them </t>
    </r>
    <r>
      <rPr>
        <rFont val="Roboto"/>
        <b/>
        <color rgb="FF1155CC"/>
        <u/>
      </rPr>
      <t>here</t>
    </r>
    <r>
      <rPr>
        <rFont val="Roboto"/>
        <b/>
      </rPr>
      <t>!</t>
    </r>
  </si>
  <si>
    <t>Credits</t>
  </si>
  <si>
    <r>
      <rPr>
        <rFont val="Roboto"/>
      </rPr>
      <t xml:space="preserve">Styling ideas from </t>
    </r>
    <r>
      <rPr>
        <rFont val="Roboto"/>
        <color rgb="FF1155CC"/>
        <u/>
      </rPr>
      <t xml:space="preserve">yxf script </t>
    </r>
  </si>
  <si>
    <r>
      <rPr>
        <rFont val="Roboto"/>
      </rPr>
      <t xml:space="preserve">Inspiration from </t>
    </r>
    <r>
      <rPr>
        <rFont val="Roboto"/>
        <color rgb="FF1155CC"/>
        <u/>
      </rPr>
      <t>CartONG's XLSform cheat sheet</t>
    </r>
  </si>
  <si>
    <t>Changelog</t>
  </si>
  <si>
    <r>
      <rPr>
        <rFont val="Roboto"/>
      </rPr>
      <t>Add decimal and text numbers for thousands-sep appearance; add filters on types, appearances and additional columns sheets (</t>
    </r>
    <r>
      <rPr>
        <rFont val="Roboto"/>
        <color rgb="FF1155CC"/>
        <u/>
      </rPr>
      <t>thanks @wroos!</t>
    </r>
    <r>
      <rPr>
        <rFont val="Roboto"/>
      </rPr>
      <t>)</t>
    </r>
  </si>
  <si>
    <t>Add Make a copy tip to readme</t>
  </si>
  <si>
    <t>v2023.1 release</t>
  </si>
  <si>
    <t>Types</t>
  </si>
  <si>
    <t>The survey sheet's 'type' column determines how the user will be prompted or what will be computed by the form</t>
  </si>
  <si>
    <r>
      <rPr>
        <rFont val="Roboto"/>
        <color rgb="FF000000"/>
      </rPr>
      <t xml:space="preserve">📋 </t>
    </r>
    <r>
      <rPr>
        <rFont val="Roboto"/>
        <color rgb="FF1155CC"/>
        <u/>
      </rPr>
      <t>Form with all question types</t>
    </r>
  </si>
  <si>
    <t>💡 See the Appearances sheet to learn how to modify how a question is displayed to users</t>
  </si>
  <si>
    <t>💡 The parameters column is sometimes used to configure aspects of a question type that are not appearance-related</t>
  </si>
  <si>
    <t>Field type</t>
  </si>
  <si>
    <t>Description</t>
  </si>
  <si>
    <t>Collect mobile forms</t>
  </si>
  <si>
    <t>Enketo web forms</t>
  </si>
  <si>
    <t>Parameters</t>
  </si>
  <si>
    <t>Prompt the user for a text response</t>
  </si>
  <si>
    <t>Prompt the user for an integer response</t>
  </si>
  <si>
    <t>Prompt the user for a decimal response</t>
  </si>
  <si>
    <t>Show the user some text</t>
  </si>
  <si>
    <t>Record the result of an expression specified in the calculation column</t>
  </si>
  <si>
    <t>select_one list_name</t>
  </si>
  <si>
    <t>Prompt the user to select one choice out of a list</t>
  </si>
  <si>
    <t>randomize, seed</t>
  </si>
  <si>
    <t>select_multiple list_name</t>
  </si>
  <si>
    <t>Prompt the user to select multiple choices out of a list</t>
  </si>
  <si>
    <t>select_one_from_file file.extension</t>
  </si>
  <si>
    <t>Prompt the user to select one choice out of a list of choices from a file</t>
  </si>
  <si>
    <t>randomize, seed, value, label</t>
  </si>
  <si>
    <t>select_multiple_from_file file.extension</t>
  </si>
  <si>
    <t>Prompt the user to select multiple choices out of a list of choices from a file</t>
  </si>
  <si>
    <t>begin_repeat</t>
  </si>
  <si>
    <t>Indicate the start of a group of questions that are repeated</t>
  </si>
  <si>
    <t>end_repeat</t>
  </si>
  <si>
    <t>Indicate the end of a group of questions that are repeated</t>
  </si>
  <si>
    <t>begin_group</t>
  </si>
  <si>
    <t>Indicate the start of a group of questions</t>
  </si>
  <si>
    <t>end_group</t>
  </si>
  <si>
    <t>Indicate the end of a group of questions</t>
  </si>
  <si>
    <t>Prompt the user to record a single point (a location)</t>
  </si>
  <si>
    <t>capture-accuracy, warning-accuracy, allow-mock-accuracy</t>
  </si>
  <si>
    <t>geotrace</t>
  </si>
  <si>
    <t>Prompt the user to record a line of points</t>
  </si>
  <si>
    <t>Prompt the user to record a polygon of points (first and last point are identical)</t>
  </si>
  <si>
    <t>start-geopoint</t>
  </si>
  <si>
    <t>Record the highest-accuracy point within 20 seconds of creating the blank filled form</t>
  </si>
  <si>
    <t>Prompt the user to select a value in an integer or decimal range defined in the parameters column</t>
  </si>
  <si>
    <t>start, end, step</t>
  </si>
  <si>
    <t>image</t>
  </si>
  <si>
    <t>Prompt the user for an image</t>
  </si>
  <si>
    <t>max-pixels</t>
  </si>
  <si>
    <t>Prompt the user to scan a barcode</t>
  </si>
  <si>
    <t>Prompt the user to record or select audio</t>
  </si>
  <si>
    <t>quality (normal, low, voice-only, external; defaults to normal)</t>
  </si>
  <si>
    <t>background-audio</t>
  </si>
  <si>
    <t>Record audio in the background while filling out the form</t>
  </si>
  <si>
    <t>quality (normal, low, voice-only)</t>
  </si>
  <si>
    <t>Prompt the user to record or select a video</t>
  </si>
  <si>
    <t>file</t>
  </si>
  <si>
    <t>Prompt the user to attach a file</t>
  </si>
  <si>
    <t>Prompt the user for a date response</t>
  </si>
  <si>
    <t>Prompt the user for a time response</t>
  </si>
  <si>
    <t>Prompt the user for a date and time response</t>
  </si>
  <si>
    <t>rank</t>
  </si>
  <si>
    <t>Prompt the user to rank a list of choices</t>
  </si>
  <si>
    <t>csv-external</t>
  </si>
  <si>
    <t>Attach a CSV to the form for querying. Specify its name without extension in the name column</t>
  </si>
  <si>
    <t>acknowledge</t>
  </si>
  <si>
    <t>Prompt the user to acknowledge a statement</t>
  </si>
  <si>
    <t>Record the time when the blank filled form is created</t>
  </si>
  <si>
    <t>Record the time the last time that the filled form is finalized</t>
  </si>
  <si>
    <t>Record the date when the blank filled form is created</t>
  </si>
  <si>
    <t>Record the install's unique ID (reset on uninstall or cache clear)</t>
  </si>
  <si>
    <t>Record the username</t>
  </si>
  <si>
    <t>Record the phone number stored in app settings</t>
  </si>
  <si>
    <t>email</t>
  </si>
  <si>
    <t>Record the email stored in app settings</t>
  </si>
  <si>
    <t>Log user's actions while filling out the form as an attached CSV</t>
  </si>
  <si>
    <t>location-priority, location-min-interval, location-max-age, track-changes, track-changes-reasons, identify-user</t>
  </si>
  <si>
    <t>Appearances</t>
  </si>
  <si>
    <t>Appearances configure how a question will be displayed to the user on their device</t>
  </si>
  <si>
    <t>💡 Most appearances for the same question type can be combined by using a space-separated list</t>
  </si>
  <si>
    <t>Appearance name</t>
  </si>
  <si>
    <t>Type(s) used with</t>
  </si>
  <si>
    <t>numbers</t>
  </si>
  <si>
    <t>Restrict input to numeric symbols but save the value as text</t>
  </si>
  <si>
    <t>depends on browser</t>
  </si>
  <si>
    <t>multiline</t>
  </si>
  <si>
    <t>Show a text area that is multiple lines tall</t>
  </si>
  <si>
    <t>No (text boxes grow vertically as needed)</t>
  </si>
  <si>
    <t>url</t>
  </si>
  <si>
    <t>Show a button to launch the website represented by this field's value</t>
  </si>
  <si>
    <t>ex:</t>
  </si>
  <si>
    <t>Add the Android app ID of a custom application after the ex: prefix to launch that application</t>
  </si>
  <si>
    <t>text integer decimal image audio video file</t>
  </si>
  <si>
    <t>Automatically add locale-dependent thousands separators on screen but not in submissions</t>
  </si>
  <si>
    <t>integer decimal text numbers</t>
  </si>
  <si>
    <t>Shows counter widget where users can tap + or - to count up/down</t>
  </si>
  <si>
    <t>bearing</t>
  </si>
  <si>
    <t>Prompt the user to capture the device-reported compass direction</t>
  </si>
  <si>
    <t>Show a vertical range slider instead of the default horizontal slider</t>
  </si>
  <si>
    <t>no-ticks</t>
  </si>
  <si>
    <t>Hide tick marks for a range slider (can combine with vertical)</t>
  </si>
  <si>
    <t>picker</t>
  </si>
  <si>
    <t>Show values in a range as a list of options that can be picked</t>
  </si>
  <si>
    <t>Show values in a range as star ratings</t>
  </si>
  <si>
    <t>Only show the option to capture new media, not to select existing</t>
  </si>
  <si>
    <t>image audio video</t>
  </si>
  <si>
    <t>new-front</t>
  </si>
  <si>
    <t xml:space="preserve">Only show the option to capture a new picture from front (selfie) camera </t>
  </si>
  <si>
    <t>draw</t>
  </si>
  <si>
    <t>Prompt the user to draw an image</t>
  </si>
  <si>
    <t>annotate</t>
  </si>
  <si>
    <t>Prompt the user to annotate (draw on) an image</t>
  </si>
  <si>
    <t>signature</t>
  </si>
  <si>
    <t>Prompt the user to sign their signature</t>
  </si>
  <si>
    <t>no-calendar</t>
  </si>
  <si>
    <t>Show date picker as spinners rather than a calendar</t>
  </si>
  <si>
    <t>date datetime</t>
  </si>
  <si>
    <t>Show date picker for month and year only</t>
  </si>
  <si>
    <t>year</t>
  </si>
  <si>
    <t>Show date picker for year only</t>
  </si>
  <si>
    <t>some desktop browsers</t>
  </si>
  <si>
    <t>ethiopian</t>
  </si>
  <si>
    <t>Show date picker using the Ethiopian calendar</t>
  </si>
  <si>
    <t>coptic</t>
  </si>
  <si>
    <t>Show date picker using the Coptic calendar</t>
  </si>
  <si>
    <t>islamic</t>
  </si>
  <si>
    <t>Show date picker using the Islamic calendar</t>
  </si>
  <si>
    <t>bikram-sambat</t>
  </si>
  <si>
    <t>Show date picker using the Bikram Sambat (Nepali) calendar</t>
  </si>
  <si>
    <t>myanmar</t>
  </si>
  <si>
    <t>Show date picker using the Myanmar calendar</t>
  </si>
  <si>
    <t>persian</t>
  </si>
  <si>
    <t>Show date picker using the Persian calendar</t>
  </si>
  <si>
    <t>placement-map</t>
  </si>
  <si>
    <t>Show a map that the user can manually place and adjust a location on</t>
  </si>
  <si>
    <t>maps</t>
  </si>
  <si>
    <t>Show a map that the user can capture device location on (but not manually adjust)</t>
  </si>
  <si>
    <t>hide-input</t>
  </si>
  <si>
    <t>Show a larger map and hide geo input fields by default</t>
  </si>
  <si>
    <t>geopoint geotrace geoshape</t>
  </si>
  <si>
    <t>N/A</t>
  </si>
  <si>
    <t>minimal</t>
  </si>
  <si>
    <t>Show a text prompt that when tapped shows all choices</t>
  </si>
  <si>
    <t>all selects</t>
  </si>
  <si>
    <t>Allow the user to search the list of available choices</t>
  </si>
  <si>
    <t>Advance to the next screen immediately after a choice is selected</t>
  </si>
  <si>
    <t>select_one select_one_from_file</t>
  </si>
  <si>
    <t>columns-pack</t>
  </si>
  <si>
    <t>Show available choices with as may as possible on one line</t>
  </si>
  <si>
    <t>columns</t>
  </si>
  <si>
    <t>Show available choices in 2, 3, 4 or 5 columns depending on screen size</t>
  </si>
  <si>
    <t>columns-n</t>
  </si>
  <si>
    <t>Show available choices in the specified number (n) of columns</t>
  </si>
  <si>
    <t>no-buttons</t>
  </si>
  <si>
    <t>Show available choices without radio buttons / check boxes</t>
  </si>
  <si>
    <t>image-map</t>
  </si>
  <si>
    <t>Show available choices mapped to the svg file specified in the image column</t>
  </si>
  <si>
    <t>Show available choices horizontally as a likert scale</t>
  </si>
  <si>
    <t>map</t>
  </si>
  <si>
    <t>Show available choices on a map using each choice's geometry column</t>
  </si>
  <si>
    <t>Show all questions in the field list on the same screen</t>
  </si>
  <si>
    <t>begin_group begin_repeat</t>
  </si>
  <si>
    <t>Yes (only applies in pages mode)</t>
  </si>
  <si>
    <t>Show only option labels to define the top row of a select grid</t>
  </si>
  <si>
    <t>list-nolabel</t>
  </si>
  <si>
    <t>Show only radio buttons or checkboxes to define the inside of a select grid</t>
  </si>
  <si>
    <t>list</t>
  </si>
  <si>
    <t>Show horizontal radio buttons or checkboxes with their labels</t>
  </si>
  <si>
    <t>Relevance</t>
  </si>
  <si>
    <t>Relevance determines whether a question will be displayed to a user or not. It lets you define branching or skip logic in your forms.</t>
  </si>
  <si>
    <t>💡 Apply relevance to groups or repeats to skip or show multiple questions at once</t>
  </si>
  <si>
    <t>💡 You can use relevance on a note to provide additional guidance or to confirm a value that could possibly be out of range</t>
  </si>
  <si>
    <r>
      <rPr>
        <rFont val="Roboto"/>
      </rPr>
      <t xml:space="preserve">💡 You can meet almost any requirement with available </t>
    </r>
    <r>
      <rPr>
        <rFont val="Roboto"/>
        <color rgb="FF1155CC"/>
        <u/>
      </rPr>
      <t>functions</t>
    </r>
  </si>
  <si>
    <t>Example relevance expression</t>
  </si>
  <si>
    <t>${q1} != ''</t>
  </si>
  <si>
    <t>This question will appear if q1 was not blank</t>
  </si>
  <si>
    <t>${age} &lt; 18</t>
  </si>
  <si>
    <t>This question will only appear if previously-entered age was less than 18</t>
  </si>
  <si>
    <t>${random_value} &lt; 0.5</t>
  </si>
  <si>
    <t>If ${random_value} is a calculate with calculation once(random()), this question will be shown half the times that this form is launched</t>
  </si>
  <si>
    <t>(${computed_months} &gt;= 6 and ${computed_months} &lt; 24) or (${months} &gt;= 6 and ${months} &lt; 24)</t>
  </si>
  <si>
    <t>Conditions can be combined using and, or</t>
  </si>
  <si>
    <t>selected(${q1}, 'nurse')</t>
  </si>
  <si>
    <t>This question will only appear if 'nurse' was selected in q1</t>
  </si>
  <si>
    <t>selected(${q1}, -88) or selected(${q2}, -88) or selected(${q3}, -88)</t>
  </si>
  <si>
    <t>This question will appear if -88 was selected in any of q1, q2 and q3</t>
  </si>
  <si>
    <t>${q1} &lt; 12.5 or selected(${q2}, 'y')</t>
  </si>
  <si>
    <t>This question will appear if q1's value was less than 12.5 or if 'y' was selected in q2</t>
  </si>
  <si>
    <t>not(selected(${q2}, 'b'))</t>
  </si>
  <si>
    <t>This question will appear if 'b' was not selected in q2</t>
  </si>
  <si>
    <t>string-length(${q1}) &gt; 3</t>
  </si>
  <si>
    <t>This question will appear if the answer to q1 had more than 3 characters</t>
  </si>
  <si>
    <t>This question will never appear. This can be useful when creating a form that is intended to be customized for different environments. Questions or sections that are optional can be marked as non-relevant in the template.</t>
  </si>
  <si>
    <t>Constraints</t>
  </si>
  <si>
    <t>Constraints limit the answers allowed in a field.</t>
  </si>
  <si>
    <t>💡 Constraints are not evaluated if the answer is blank. To require answers, make the question required.</t>
  </si>
  <si>
    <r>
      <rPr/>
      <t xml:space="preserve">💡 You can meet almost any requirement with available </t>
    </r>
    <r>
      <rPr>
        <color rgb="FF1155CC"/>
        <u/>
      </rPr>
      <t>functions</t>
    </r>
  </si>
  <si>
    <t>Example constraint expression</t>
  </si>
  <si>
    <t>. &lt;= 10</t>
  </si>
  <si>
    <t>Answer must be a number less or equal to 10</t>
  </si>
  <si>
    <t>. &gt; 10.51 and . &lt; 18.39</t>
  </si>
  <si>
    <t>Answer must be a number between 10.51 and 18.39, excluding those values</t>
  </si>
  <si>
    <t>string-length(.) &gt; 5</t>
  </si>
  <si>
    <t>Answer must be longer than 5 characters</t>
  </si>
  <si>
    <t>. &gt;= today()</t>
  </si>
  <si>
    <t>Answer must be a date today or later</t>
  </si>
  <si>
    <t>. &gt;= date('2015-08-01')</t>
  </si>
  <si>
    <t>Answer must be a date August 1st 2015 or later</t>
  </si>
  <si>
    <t>count-selected(.) &lt;= 3</t>
  </si>
  <si>
    <t>Answer to this multi select question can only include 0, 1, 2 or 3 choices but no more</t>
  </si>
  <si>
    <t>not(selected(., 'none') and count-selected(.) &gt; 1)</t>
  </si>
  <si>
    <t>Answer to this multi select question may not include both 'none' and other selections</t>
  </si>
  <si>
    <t>if(selected(., 'none'), count-selected(.) = 1, true())</t>
  </si>
  <si>
    <t>Another way of expressing the same concept as above: if the 'none' choice is selected, the total number of choices selected must be 1. Otherwise, any number of selections is allowed. Replace true() with another expression to specify a requirement when 'none' is not selected</t>
  </si>
  <si>
    <t>if(selected(., 'none'), count-selected(.) = 1, count-selected(.) = 2)</t>
  </si>
  <si>
    <t>Answer to this multi select question can either be 'none' or exactly two choices not including 'none'</t>
  </si>
  <si>
    <t>regex(., '^[A-Za-z]{0,6}$')</t>
  </si>
  <si>
    <t>Answer to this text question may have up to 6 letters</t>
  </si>
  <si>
    <t>regex(.,'^[A-Z]{3}+_+[A-Z]{3}+_+[0-9]{4}+_+[0-9]{3,4}$')</t>
  </si>
  <si>
    <t>Answer must respect a specific structure (for example this one allows the following : CAR_PRC_2015_048)</t>
  </si>
  <si>
    <t>regex(., '^[A-Za-z0-9._%+-]+@[A-Za-z0-9.-]+\.[a-zA-Z]{2,4}$')</t>
  </si>
  <si>
    <r>
      <rPr/>
      <t xml:space="preserve">Answer to this text question must have an email address structure (note: this </t>
    </r>
    <r>
      <rPr>
        <color rgb="FF000000"/>
      </rPr>
      <t>is not exact</t>
    </r>
    <r>
      <rPr/>
      <t xml:space="preserve"> but filters out obviously-wrong inputs)</t>
    </r>
  </si>
  <si>
    <t>regex(.,'^\(?[0-9]{3}\)?-?[0-9]{3}-?[0-9]{4}$')</t>
  </si>
  <si>
    <t>Answer to this text question must have a North American phone number structure</t>
  </si>
  <si>
    <t>. = 9999 or (selected(${q1}, 'yes') and . &lt;= 0) or (selected(${q1}, 'no') and . &gt; 0)</t>
  </si>
  <si>
    <t>The answer 9999 is always accepted to represent 'unknown'. Otherwise, this question's answer depends on ${q1}'s answer: if ${q1} was 'yes', then this answer must be a negative number. If ${q1} was 'no', this answer must be a positive number.</t>
  </si>
  <si>
    <t>Translations</t>
  </si>
  <si>
    <t xml:space="preserve">XLSForms can be translated into multiple languages. </t>
  </si>
  <si>
    <t>💡 The text on navigation buttons and other system elements are translated as part of the application that shows your form, not as part of the form definition.</t>
  </si>
  <si>
    <t>💡 Form titles can't be translated.</t>
  </si>
  <si>
    <t>💡 We recommend that you design your form in one language, test it extensively, and then translate it.</t>
  </si>
  <si>
    <t>💡 You can specify a default language in the settings sheet.</t>
  </si>
  <si>
    <t>⚠️ There is no fallback language. Specify a translation for every column used in the form. Otherwise, a dash (-) will be shown for text that is not translated to the current language.</t>
  </si>
  <si>
    <t>⚠️ If you use the choices sheet, make sure that all of its text and media columns have translations for all languages.</t>
  </si>
  <si>
    <t>Add new language</t>
  </si>
  <si>
    <t>Duplicate all columns that have user-facing text or media to add new language.</t>
  </si>
  <si>
    <t>These are highlighted in the survey and choices sheets:</t>
  </si>
  <si>
    <t>guidance_hint</t>
  </si>
  <si>
    <t>required_message</t>
  </si>
  <si>
    <t>language name and code</t>
  </si>
  <si>
    <t xml:space="preserve">For each language that you need, add the language name and the language code after a :: separator. </t>
  </si>
  <si>
    <r>
      <rPr>
        <rFont val="Roboto"/>
      </rPr>
      <t xml:space="preserve">You must do this for every column with text or media. </t>
    </r>
    <r>
      <rPr>
        <rFont val="Roboto"/>
        <color rgb="FF1155CC"/>
        <u/>
      </rPr>
      <t>Find language codes</t>
    </r>
    <r>
      <rPr>
        <rFont val="Roboto"/>
      </rPr>
      <t>.</t>
    </r>
  </si>
  <si>
    <t>The language name is what data collectors will see. We generally recommend using the language name in the language itself.</t>
  </si>
  <si>
    <t>label::Español (es)</t>
  </si>
  <si>
    <t>hint::Español (es)</t>
  </si>
  <si>
    <t>Example with English and Spanish translations</t>
  </si>
  <si>
    <t>survey</t>
  </si>
  <si>
    <t>hint::English (en)</t>
  </si>
  <si>
    <t>image::Español (es)</t>
  </si>
  <si>
    <t>choices</t>
  </si>
  <si>
    <t>List lookups</t>
  </si>
  <si>
    <t>You can look up values from lists specified in the choices sheet, entity lists, attached CSVs, attached geoJSON files and attached XML files by using the instance function.</t>
  </si>
  <si>
    <t>💡 Choice filters, used to filter lists of items for use in selects, are the same as filter expressions</t>
  </si>
  <si>
    <t>💡 These queries use a subset of the XPath language. ${} expressions get translated to XPath to access fields in the form</t>
  </si>
  <si>
    <r>
      <rPr>
        <rFont val="Roboto"/>
        <color theme="1"/>
        <sz val="10.0"/>
      </rPr>
      <t>instance('</t>
    </r>
    <r>
      <rPr>
        <rFont val="Roboto"/>
        <b/>
        <color rgb="FF1155CC"/>
        <sz val="10.0"/>
      </rPr>
      <t>list_name</t>
    </r>
    <r>
      <rPr>
        <rFont val="Roboto"/>
        <color theme="1"/>
        <sz val="10.0"/>
      </rPr>
      <t>')/root/item[</t>
    </r>
    <r>
      <rPr>
        <rFont val="Roboto"/>
        <b/>
        <color rgb="FFE69138"/>
        <sz val="10.0"/>
      </rPr>
      <t>filter expression</t>
    </r>
    <r>
      <rPr>
        <rFont val="Roboto"/>
        <color theme="1"/>
        <sz val="10.0"/>
      </rPr>
      <t>]/</t>
    </r>
    <r>
      <rPr>
        <rFont val="Roboto"/>
        <b/>
        <color rgb="FF6AA84F"/>
        <sz val="10.0"/>
      </rPr>
      <t>desired_property</t>
    </r>
  </si>
  <si>
    <t>The name of the list to get value(s) from</t>
  </si>
  <si>
    <t>filter expression</t>
  </si>
  <si>
    <t>An expression for filtering the items in the list. You can filter the list down to one single item or multiple. Filter expressions can use functions and any other logic.</t>
  </si>
  <si>
    <t>property</t>
  </si>
  <si>
    <t>The property you want to access for items that match the filter</t>
  </si>
  <si>
    <t>Common type of lookup</t>
  </si>
  <si>
    <t>The most common type of query looks a single item up based on one property and gives back another property's value</t>
  </si>
  <si>
    <r>
      <rPr>
        <rFont val="Roboto"/>
        <color theme="1"/>
        <sz val="10.0"/>
      </rPr>
      <t>instance('</t>
    </r>
    <r>
      <rPr>
        <rFont val="Roboto"/>
        <b/>
        <color rgb="FF1155CC"/>
        <sz val="10.0"/>
      </rPr>
      <t>list_name</t>
    </r>
    <r>
      <rPr>
        <rFont val="Roboto"/>
        <color theme="1"/>
        <sz val="10.0"/>
      </rPr>
      <t>')/root/item[</t>
    </r>
    <r>
      <rPr>
        <rFont val="Roboto"/>
        <b/>
        <color rgb="FFE69138"/>
        <sz val="10.0"/>
      </rPr>
      <t>match_property</t>
    </r>
    <r>
      <rPr>
        <rFont val="Roboto"/>
        <color rgb="FFE69138"/>
        <sz val="10.0"/>
      </rPr>
      <t xml:space="preserve"> </t>
    </r>
    <r>
      <rPr>
        <rFont val="Roboto"/>
        <color theme="1"/>
        <sz val="10.0"/>
      </rPr>
      <t>=</t>
    </r>
    <r>
      <rPr>
        <rFont val="Roboto"/>
        <color rgb="FFE69138"/>
        <sz val="10.0"/>
      </rPr>
      <t xml:space="preserve"> </t>
    </r>
    <r>
      <rPr>
        <rFont val="Roboto"/>
        <b/>
        <color rgb="FF674EA7"/>
        <sz val="10.0"/>
      </rPr>
      <t>${q1}</t>
    </r>
    <r>
      <rPr>
        <rFont val="Roboto"/>
        <color theme="1"/>
        <sz val="10.0"/>
      </rPr>
      <t>]/</t>
    </r>
    <r>
      <rPr>
        <rFont val="Roboto"/>
        <b/>
        <color rgb="FF6AA84F"/>
        <sz val="10.0"/>
      </rPr>
      <t>desired_property</t>
    </r>
  </si>
  <si>
    <t>match_property</t>
  </si>
  <si>
    <t>The property used to look up an item</t>
  </si>
  <si>
    <t>${q1}</t>
  </si>
  <si>
    <t>A value used to look up the item (e.g., a unique id)</t>
  </si>
  <si>
    <t>desired_property</t>
  </si>
  <si>
    <t>The property whose value is returned</t>
  </si>
  <si>
    <t>Example query</t>
  </si>
  <si>
    <t>instance('crops')/root/item[name = ${crop}]/average_yield</t>
  </si>
  <si>
    <t>In a list of crops, use a previously-entered crop name to look up that crop's average yield.</t>
  </si>
  <si>
    <t>instance('days')/root/item[number = ${day_number}]/blood_pressure_needed</t>
  </si>
  <si>
    <t>In a list of days, use a previously-entered day number to look up whether or not blood pressure needs to be entered that day.</t>
  </si>
  <si>
    <t>instance('data_collectors')/root/item[name = ${data_collector_id}]/visits_complete</t>
  </si>
  <si>
    <t>In a list of data collector, use a previously-entered data collector id to look up how many visits the data collector completed.</t>
  </si>
  <si>
    <t>instance('houses')/root/item[name = ${hhid}]/geometry</t>
  </si>
  <si>
    <t>In a list of houses, use a previously-entered household id to look up the geometry (location) of that house.</t>
  </si>
  <si>
    <t>count(instance('participants')/root/item[answered = 'no']/label)</t>
  </si>
  <si>
    <t>Filter a list of participants to only those who have not answered yet. Count the number of matches.</t>
  </si>
  <si>
    <t>sum(instance('patients')/root/item[birth_year &gt; 1978][gender = 'female']/child_count)</t>
  </si>
  <si>
    <t>Filter a list of patients to only those with birth year greater than 1978, then filter that list to females only, then get the child count for each of them. The full expression computes the sum of all children of females born after 1978.</t>
  </si>
  <si>
    <t>instance('children')/root/item[household = ${hhid}][number = position(..)]/first_name</t>
  </si>
  <si>
    <t>Get the first name of the Nth child in a household with id ${hhid} where N is the position of the current repeat in the list of all repeat instances.</t>
  </si>
  <si>
    <t xml:space="preserve">💡 You can use these expressions with repeats, too. For example, if ${repeat} is a repeat in your form, you can write </t>
  </si>
  <si>
    <r>
      <rPr>
        <rFont val="Roboto"/>
        <color theme="1"/>
      </rPr>
      <t xml:space="preserve">      </t>
    </r>
    <r>
      <rPr>
        <rFont val="Courier New"/>
        <color theme="1"/>
      </rPr>
      <t>${repeat}[filter expression]/desired_field</t>
    </r>
    <r>
      <rPr>
        <rFont val="Roboto"/>
        <color theme="1"/>
      </rPr>
      <t xml:space="preserve"> to access a field in a repeat instance or </t>
    </r>
    <r>
      <rPr>
        <rFont val="Courier New"/>
        <color theme="1"/>
      </rPr>
      <t>sum(${repeat}[filter expression]/desired_field)</t>
    </r>
    <r>
      <rPr>
        <rFont val="Roboto"/>
        <color theme="1"/>
      </rPr>
      <t xml:space="preserve"> to get the sum of all repeat instances that match the filter.</t>
    </r>
  </si>
  <si>
    <r>
      <rPr>
        <rFont val="Roboto"/>
        <color theme="1"/>
      </rPr>
      <t xml:space="preserve">💡  If you are looking values up in an attached CSV, you can also use the </t>
    </r>
    <r>
      <rPr>
        <rFont val="Courier New"/>
        <color theme="1"/>
      </rPr>
      <t>pulldata</t>
    </r>
    <r>
      <rPr>
        <rFont val="Roboto"/>
        <color theme="1"/>
      </rPr>
      <t xml:space="preserve"> function. In Collect, this may have better performance for lists with many tens of thousands of elements.</t>
    </r>
  </si>
  <si>
    <r>
      <rPr>
        <rFont val="Roboto"/>
        <color theme="1"/>
      </rPr>
      <t xml:space="preserve">        pulldata(</t>
    </r>
    <r>
      <rPr>
        <rFont val="Roboto"/>
        <color rgb="FF4A86E8"/>
      </rPr>
      <t>list_name</t>
    </r>
    <r>
      <rPr>
        <rFont val="Roboto"/>
        <color theme="1"/>
      </rPr>
      <t xml:space="preserve">, </t>
    </r>
    <r>
      <rPr>
        <rFont val="Roboto"/>
        <color rgb="FF6AA84F"/>
      </rPr>
      <t>desired_property,</t>
    </r>
    <r>
      <rPr>
        <rFont val="Roboto"/>
        <color theme="1"/>
      </rPr>
      <t xml:space="preserve"> </t>
    </r>
    <r>
      <rPr>
        <rFont val="Roboto"/>
        <color rgb="FFE69138"/>
      </rPr>
      <t>match_property</t>
    </r>
    <r>
      <rPr>
        <rFont val="Roboto"/>
        <color theme="1"/>
      </rPr>
      <t xml:space="preserve">, </t>
    </r>
    <r>
      <rPr>
        <rFont val="Roboto"/>
        <color rgb="FF674EA7"/>
      </rPr>
      <t>${q1}</t>
    </r>
    <r>
      <rPr>
        <rFont val="Roboto"/>
        <color theme="1"/>
      </rPr>
      <t>)</t>
    </r>
  </si>
  <si>
    <t xml:space="preserve">        The pulldata expression above is equivalent to:</t>
  </si>
  <si>
    <r>
      <rPr>
        <rFont val="Roboto"/>
        <color theme="1"/>
      </rPr>
      <t xml:space="preserve">        instance('</t>
    </r>
    <r>
      <rPr>
        <rFont val="Roboto"/>
        <color rgb="FF1155CC"/>
      </rPr>
      <t>list_name</t>
    </r>
    <r>
      <rPr>
        <rFont val="Roboto"/>
        <color theme="1"/>
      </rPr>
      <t>')/root/item[</t>
    </r>
    <r>
      <rPr>
        <rFont val="Roboto"/>
        <color rgb="FFE69138"/>
      </rPr>
      <t xml:space="preserve">match_property </t>
    </r>
    <r>
      <rPr>
        <rFont val="Roboto"/>
        <color theme="1"/>
      </rPr>
      <t>=</t>
    </r>
    <r>
      <rPr>
        <rFont val="Roboto"/>
        <color rgb="FFE69138"/>
      </rPr>
      <t xml:space="preserve"> </t>
    </r>
    <r>
      <rPr>
        <rFont val="Roboto"/>
        <color rgb="FF674EA7"/>
      </rPr>
      <t>${q1}</t>
    </r>
    <r>
      <rPr>
        <rFont val="Roboto"/>
        <color theme="1"/>
      </rPr>
      <t>]/</t>
    </r>
    <r>
      <rPr>
        <rFont val="Roboto"/>
        <color rgb="FF6AA84F"/>
      </rPr>
      <t>desired_property</t>
    </r>
  </si>
  <si>
    <t>Additional columns</t>
  </si>
  <si>
    <t>The default survey, choices, settings and entities sheets include the most common columns. You may find it useful to add some of the columns described below.</t>
  </si>
  <si>
    <t>survey sheet</t>
  </si>
  <si>
    <t>Translatable</t>
  </si>
  <si>
    <t>save_to</t>
  </si>
  <si>
    <t>When using Entities, used to specify the Entity property to save the form field's value to</t>
  </si>
  <si>
    <t>Used to display additional information to data collectors in a way that is less visible than hints</t>
  </si>
  <si>
    <t>A custom message to replace the generic message when a required value is not filled in</t>
  </si>
  <si>
    <t>read_only</t>
  </si>
  <si>
    <t>An expression used to determine whether the question's value can be edited or not</t>
  </si>
  <si>
    <t>Static values only (yes/no)</t>
  </si>
  <si>
    <t>instance::my_attribute</t>
  </si>
  <si>
    <t>A custom instance attribute which will be included along with its value in submitted data</t>
  </si>
  <si>
    <t>bind::my_attribute</t>
  </si>
  <si>
    <t>A custom bind attribute. Generally used when an application has a special custom feature</t>
  </si>
  <si>
    <t>body::my_attribute</t>
  </si>
  <si>
    <t>A custom body attribute. Generally used when an application has a special custom feature</t>
  </si>
  <si>
    <t>choices sheet</t>
  </si>
  <si>
    <t>An image to show with this choice</t>
  </si>
  <si>
    <t>An audio file to show with this choice</t>
  </si>
  <si>
    <t>A video file to show with this choice</t>
  </si>
  <si>
    <t>geometry</t>
  </si>
  <si>
    <t>A special column that represents a choice's point, trace or shape to be displayed on a map with the map appearance</t>
  </si>
  <si>
    <t>settings sheet</t>
  </si>
  <si>
    <t>public_key</t>
  </si>
  <si>
    <t>Public key for encrypting form instances when your server is not trusted</t>
  </si>
  <si>
    <t>submission_url</t>
  </si>
  <si>
    <t>Specify a URL to make submissions to regardless of how the app is configured</t>
  </si>
  <si>
    <t>allow_choice_duplicates</t>
  </si>
  <si>
    <t>Add with 'yes' value if you want a single list on the choices sheet to have multiple choices with the same name</t>
  </si>
  <si>
    <t>entities sheet</t>
  </si>
  <si>
    <t>create_if</t>
  </si>
  <si>
    <t>A condition that a filled form must meet in order for an entity to be created from it</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</si>
</sst>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M/d/yyyy H:mm:ss"/>
    <numFmt numFmtId="165" formatCode="m/d/yyyy"/>
  </numFmts>
  <fonts count="45">
    <font>
      <sz val="10.0"/>
      <color rgb="FF000000"/>
      <name val="Arial"/>
      <scheme val="minor"/>
    </font>
    <font>
      <color rgb="FF191919"/>
      <name val="Arial"/>
      <scheme val="minor"/>
    </font>
    <font>
      <color theme="1"/>
      <name val="Arial"/>
      <scheme val="minor"/>
    </font>
    <font>
      <b/>
      <sz val="10.0"/>
      <color theme="1"/>
      <name val="Roboto"/>
    </font>
    <font>
      <b/>
      <sz val="10.0"/>
      <color rgb="FF191919"/>
      <name val="Roboto"/>
    </font>
    <font>
      <sz val="10.0"/>
      <color rgb="FF191919"/>
      <name val="Roboto"/>
    </font>
    <font>
      <sz val="10.0"/>
      <color rgb="FF191919"/>
      <name val="Courier New"/>
    </font>
    <font>
      <sz val="12.0"/>
      <color rgb="FF000000"/>
      <name val="Calibri"/>
    </font>
    <font>
      <sz val="12.0"/>
      <color theme="1"/>
      <name val="Calibri"/>
    </font>
    <font>
      <sz val="12.0"/>
      <color rgb="FF191919"/>
      <name val="Calibri"/>
    </font>
    <font>
      <sz val="10.0"/>
      <color theme="1"/>
      <name val="Roboto"/>
    </font>
    <font>
      <sz val="10.0"/>
      <color theme="1"/>
      <name val="Courier New"/>
    </font>
    <font>
      <color rgb="FF191919"/>
      <name val="Arial"/>
    </font>
    <font>
      <b/>
      <color theme="1"/>
      <name val="Roboto"/>
    </font>
    <font>
      <b/>
      <color rgb="FF191919"/>
      <name val="Roboto"/>
    </font>
    <font>
      <color theme="1"/>
      <name val="Roboto"/>
    </font>
    <font>
      <color theme="1"/>
      <name val="Courier New"/>
    </font>
    <font>
      <color rgb="FF191919"/>
      <name val="Roboto"/>
    </font>
    <font>
      <u/>
      <color rgb="FF0000FF"/>
    </font>
    <font>
      <b/>
      <sz val="16.0"/>
      <color rgb="FF000000"/>
      <name val="Roboto"/>
    </font>
    <font/>
    <font>
      <u/>
      <sz val="10.0"/>
      <color rgb="FF1155CC"/>
      <name val="Roboto"/>
    </font>
    <font>
      <b/>
      <sz val="12.0"/>
      <color theme="1"/>
      <name val="Roboto"/>
    </font>
    <font>
      <sz val="17.0"/>
      <color theme="1"/>
      <name val="Roboto"/>
    </font>
    <font>
      <color rgb="FF000000"/>
      <name val="Roboto"/>
    </font>
    <font>
      <u/>
      <color rgb="FF1155CC"/>
      <name val="Roboto"/>
    </font>
    <font>
      <color rgb="FF000000"/>
      <name val="&quot;docs-Roboto&quot;"/>
    </font>
    <font>
      <b/>
      <u/>
      <color rgb="FF0000FF"/>
      <name val="Roboto"/>
    </font>
    <font>
      <u/>
      <color rgb="FF0000FF"/>
      <name val="Roboto"/>
    </font>
    <font>
      <u/>
      <color rgb="FF1155CC"/>
      <name val="Roboto"/>
    </font>
    <font>
      <b/>
      <sz val="16.0"/>
      <color theme="1"/>
      <name val="Roboto"/>
    </font>
    <font>
      <u/>
      <color rgb="FF0000FF"/>
      <name val="Roboto"/>
    </font>
    <font>
      <b/>
      <color rgb="FFFFFFFF"/>
      <name val="Roboto"/>
    </font>
    <font>
      <sz val="25.0"/>
      <color theme="1"/>
      <name val="Poppins"/>
    </font>
    <font>
      <u/>
      <color rgb="FF0000FF"/>
    </font>
    <font>
      <b/>
      <color rgb="FFFFFFFF"/>
      <name val="Arial"/>
      <scheme val="minor"/>
    </font>
    <font>
      <u/>
      <color rgb="FF0000FF"/>
    </font>
    <font>
      <color theme="1"/>
      <name val="Arial"/>
    </font>
    <font>
      <b/>
      <sz val="14.0"/>
      <color theme="1"/>
      <name val="Roboto"/>
    </font>
    <font>
      <b/>
      <color rgb="FF1155CC"/>
      <name val="Roboto"/>
    </font>
    <font>
      <b/>
      <color rgb="FFE69138"/>
      <name val="Roboto"/>
    </font>
    <font>
      <b/>
      <color rgb="FF6AA84F"/>
      <name val="Roboto"/>
    </font>
    <font>
      <b/>
      <color rgb="FF674EA7"/>
      <name val="Roboto"/>
    </font>
    <font>
      <color rgb="FFFFFFFF"/>
      <name val="Roboto"/>
    </font>
    <font>
      <sz val="12.0"/>
      <color theme="1"/>
      <name val="Roboto"/>
    </font>
  </fonts>
  <fills count="13">
    <fill>
      <patternFill patternType="none"/>
    </fill>
    <fill>
      <patternFill patternType="lightGray"/>
    </fill>
    <fill>
      <patternFill patternType="solid">
        <fgColor theme="7"/>
        <bgColor theme="7"/>
      </patternFill>
    </fill>
    <fill>
      <patternFill patternType="solid">
        <fgColor rgb="FFDFE8EF"/>
        <bgColor rgb="FFDFE8EF"/>
      </patternFill>
    </fill>
    <fill>
      <patternFill patternType="solid">
        <fgColor rgb="FFD9EAD3"/>
        <bgColor rgb="FFD9EAD3"/>
      </patternFill>
    </fill>
    <fill>
      <patternFill patternType="solid">
        <fgColor rgb="FFFFFF00"/>
        <bgColor rgb="FFFFFF00"/>
      </patternFill>
    </fill>
    <fill>
      <patternFill patternType="solid">
        <fgColor rgb="FFF3F3F3"/>
        <bgColor rgb="FFF3F3F3"/>
      </patternFill>
    </fill>
    <fill>
      <patternFill patternType="solid">
        <fgColor theme="6"/>
        <bgColor theme="6"/>
      </patternFill>
    </fill>
    <fill>
      <patternFill patternType="solid">
        <fgColor rgb="FFFFFFFF"/>
        <bgColor rgb="FFFFFFFF"/>
      </patternFill>
    </fill>
    <fill>
      <patternFill patternType="solid">
        <fgColor rgb="FF434343"/>
        <bgColor rgb="FF434343"/>
      </patternFill>
    </fill>
    <fill>
      <patternFill patternType="solid">
        <fgColor rgb="FF009ECC"/>
        <bgColor rgb="FF009ECC"/>
      </patternFill>
    </fill>
    <fill>
      <patternFill patternType="solid">
        <fgColor rgb="FFFFF2CC"/>
        <bgColor rgb="FFFFF2CC"/>
      </patternFill>
    </fill>
    <fill>
      <patternFill patternType="solid">
        <fgColor rgb="FFE2F5EC"/>
        <bgColor rgb="FFE2F5EC"/>
      </patternFill>
    </fill>
  </fills>
  <borders count="78">
    <border/>
    <border>
      <left style="thin">
        <color rgb="FFFFFFFF"/>
      </left>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FFFFF"/>
      </left>
      <top style="thin">
        <color rgb="FFFFFFFF"/>
      </top>
    </border>
    <border>
      <right style="thin">
        <color rgb="FFFFFFFF"/>
      </right>
      <top style="thin">
        <color rgb="FFFFFFFF"/>
      </top>
    </border>
    <border>
      <right style="thin">
        <color rgb="FFFFFFFF"/>
      </right>
      <bottom style="thin">
        <color rgb="FFFFFFFF"/>
      </bottom>
    </border>
    <border>
      <left style="thin">
        <color rgb="FFFFFFFF"/>
      </left>
      <right style="thin">
        <color rgb="FFFFFFFF"/>
      </right>
      <bottom style="thin">
        <color rgb="FFFFFFFF"/>
      </bottom>
    </border>
    <border>
      <left style="thin">
        <color rgb="FFFFFFFF"/>
      </left>
      <right style="thin">
        <color rgb="FFFFFFFF"/>
      </right>
      <bottom style="medium">
        <color rgb="FF000000"/>
      </bottom>
    </border>
    <border>
      <left style="thin">
        <color rgb="FFFFFFFF"/>
      </left>
      <bottom style="medium">
        <color rgb="FF000000"/>
      </bottom>
    </border>
    <border>
      <right style="thin">
        <color rgb="FFFFFFFF"/>
      </right>
      <bottom style="medium">
        <color rgb="FF000000"/>
      </bottom>
    </border>
    <border>
      <left style="thin">
        <color rgb="FFFFFFFF"/>
      </left>
      <right style="thin">
        <color rgb="FFFFFFFF"/>
      </right>
      <top style="thin">
        <color rgb="FFFFFFFF"/>
      </top>
      <bottom style="medium">
        <color rgb="FF000000"/>
      </bottom>
    </border>
    <border>
      <left style="thin">
        <color rgb="FFFFFFFF"/>
      </left>
      <top style="thin">
        <color rgb="FFFFFFFF"/>
      </top>
      <bottom style="thin">
        <color rgb="FFFFFFFF"/>
      </bottom>
    </border>
    <border>
      <right style="thin">
        <color rgb="FFFFFFFF"/>
      </right>
      <top style="thin">
        <color rgb="FFFFFFFF"/>
      </top>
      <bottom style="thin">
        <color rgb="FFFFFFFF"/>
      </bottom>
    </border>
    <border>
      <left style="medium">
        <color rgb="FFFFFFFF"/>
      </left>
      <right style="medium">
        <color rgb="FFFFFFFF"/>
      </right>
      <top style="medium">
        <color rgb="FFFFFFFF"/>
      </top>
      <bottom style="medium">
        <color rgb="FFFFFFFF"/>
      </bottom>
    </border>
    <border>
      <bottom style="medium">
        <color rgb="FF000000"/>
      </bottom>
    </border>
    <border>
      <left style="medium">
        <color rgb="FFFFFFFF"/>
      </left>
      <bottom style="medium">
        <color rgb="FFFFFFFF"/>
      </bottom>
    </border>
    <border>
      <bottom style="medium">
        <color rgb="FFFFFFFF"/>
      </bottom>
    </border>
    <border>
      <right style="medium">
        <color rgb="FFFFFFFF"/>
      </right>
      <bottom style="medium">
        <color rgb="FFFFFFFF"/>
      </bottom>
    </border>
    <border>
      <left style="medium">
        <color rgb="FFFFFFFF"/>
      </left>
      <right style="medium">
        <color rgb="FFFFFFFF"/>
      </right>
      <top style="medium">
        <color rgb="FFFFFFFF"/>
      </top>
    </border>
    <border>
      <left style="medium">
        <color rgb="FFFFFFFF"/>
      </left>
      <top style="medium">
        <color rgb="FFFFFFFF"/>
      </top>
    </border>
    <border>
      <left style="medium">
        <color rgb="FFFFFFFF"/>
      </left>
      <top style="medium">
        <color rgb="FFFFFFFF"/>
      </top>
      <bottom style="medium">
        <color rgb="FFFFFFFF"/>
      </bottom>
    </border>
    <border>
      <top style="thin">
        <color rgb="FFFFFFFF"/>
      </top>
    </border>
    <border>
      <left style="thin">
        <color rgb="FFFFFFFF"/>
      </left>
    </border>
    <border>
      <right style="thin">
        <color rgb="FFFFFFFF"/>
      </right>
    </border>
    <border>
      <left style="thin">
        <color rgb="FFFFFFFF"/>
      </left>
      <bottom style="thin">
        <color rgb="FFFFFFFF"/>
      </bottom>
    </border>
    <border>
      <bottom style="thin">
        <color rgb="FFFFFFFF"/>
      </bottom>
    </border>
    <border>
      <top style="medium">
        <color rgb="FFFFFFFF"/>
      </top>
      <bottom style="medium">
        <color rgb="FFFFFFFF"/>
      </bottom>
    </border>
    <border>
      <right style="medium">
        <color rgb="FFFFFFFF"/>
      </right>
      <top style="medium">
        <color rgb="FFFFFFFF"/>
      </top>
      <bottom style="medium">
        <color rgb="FFFFFFFF"/>
      </bottom>
    </border>
    <border>
      <left style="thin">
        <color rgb="FF000000"/>
      </left>
      <right style="thin">
        <color rgb="FFFFFFFF"/>
      </right>
      <top style="thin">
        <color rgb="FFFFFFFF"/>
      </top>
      <bottom style="thin">
        <color rgb="FFFFFFFF"/>
      </bottom>
    </border>
    <border>
      <left style="medium">
        <color rgb="FFFFFFFF"/>
      </left>
      <right style="medium">
        <color rgb="FFFFFFFF"/>
      </right>
      <bottom style="medium">
        <color rgb="FFFFFFFF"/>
      </bottom>
    </border>
    <border>
      <left style="medium">
        <color rgb="FF6AA84F"/>
      </left>
      <right style="medium">
        <color rgb="FF6AA84F"/>
      </right>
      <top style="medium">
        <color rgb="FF6AA84F"/>
      </top>
    </border>
    <border>
      <left style="medium">
        <color rgb="FF6AA84F"/>
      </left>
      <right style="medium">
        <color rgb="FF6AA84F"/>
      </right>
    </border>
    <border>
      <left style="medium">
        <color rgb="FF6AA84F"/>
      </left>
      <right style="medium">
        <color rgb="FF6AA84F"/>
      </right>
      <bottom style="medium">
        <color rgb="FF6AA84F"/>
      </bottom>
    </border>
    <border>
      <right style="medium">
        <color rgb="FFFFFFFF"/>
      </right>
      <top style="medium">
        <color rgb="FFFFFFFF"/>
      </top>
    </border>
    <border>
      <left style="medium">
        <color rgb="FF6AA84F"/>
      </left>
      <right style="medium">
        <color rgb="FF6AA84F"/>
      </right>
      <top style="medium">
        <color rgb="FF6AA84F"/>
      </top>
      <bottom style="medium">
        <color rgb="FF6AA84F"/>
      </bottom>
    </border>
    <border>
      <left style="medium">
        <color rgb="FFF3F3F3"/>
      </left>
      <top style="medium">
        <color rgb="FFF3F3F3"/>
      </top>
    </border>
    <border>
      <top style="medium">
        <color rgb="FFF3F3F3"/>
      </top>
    </border>
    <border>
      <right style="medium">
        <color rgb="FFF3F3F3"/>
      </right>
      <top style="medium">
        <color rgb="FFF3F3F3"/>
      </top>
    </border>
    <border>
      <left style="medium">
        <color rgb="FFF3F3F3"/>
      </left>
    </border>
    <border>
      <right style="medium">
        <color rgb="FFF3F3F3"/>
      </right>
    </border>
    <border>
      <left style="medium">
        <color rgb="FFF3F3F3"/>
      </left>
      <bottom style="medium">
        <color rgb="FFF3F3F3"/>
      </bottom>
    </border>
    <border>
      <bottom style="medium">
        <color rgb="FFF3F3F3"/>
      </bottom>
    </border>
    <border>
      <right style="medium">
        <color rgb="FFF3F3F3"/>
      </right>
      <bottom style="medium">
        <color rgb="FFF3F3F3"/>
      </bottom>
    </border>
    <border>
      <left style="thin">
        <color rgb="FFEFEFEF"/>
      </left>
      <top style="thin">
        <color rgb="FFEFEFEF"/>
      </top>
      <bottom style="thin">
        <color rgb="FF000000"/>
      </bottom>
    </border>
    <border>
      <left style="thin">
        <color rgb="FFF3F3F3"/>
      </left>
      <right style="thin">
        <color rgb="FFF3F3F3"/>
      </right>
      <top style="thin">
        <color rgb="FFF3F3F3"/>
      </top>
      <bottom style="thin">
        <color rgb="FF000000"/>
      </bottom>
    </border>
    <border>
      <left style="thin">
        <color rgb="FFEFEFEF"/>
      </left>
      <bottom style="thin">
        <color rgb="FFEFEFEF"/>
      </bottom>
    </border>
    <border>
      <left style="thin">
        <color rgb="FFF3F3F3"/>
      </left>
      <right style="thin">
        <color rgb="FFF3F3F3"/>
      </right>
      <bottom style="thin">
        <color rgb="FFF3F3F3"/>
      </bottom>
    </border>
    <border>
      <left style="thin">
        <color rgb="FFEFEFEF"/>
      </left>
      <top style="thin">
        <color rgb="FFEFEFEF"/>
      </top>
      <bottom style="thin">
        <color rgb="FFEFEFEF"/>
      </bottom>
    </border>
    <border>
      <left style="thin">
        <color rgb="FFF3F3F3"/>
      </left>
      <right style="thin">
        <color rgb="FFF3F3F3"/>
      </right>
      <top style="thin">
        <color rgb="FFF3F3F3"/>
      </top>
      <bottom style="thin">
        <color rgb="FFF3F3F3"/>
      </bottom>
    </border>
    <border>
      <left style="thin">
        <color rgb="FFFFFFFF"/>
      </left>
      <top style="thin">
        <color rgb="FFFFFFFF"/>
      </top>
      <bottom style="medium">
        <color rgb="FFFFFFFF"/>
      </bottom>
    </border>
    <border>
      <left style="thin">
        <color rgb="FFF3F3F3"/>
      </left>
      <top style="thin">
        <color rgb="FFF3F3F3"/>
      </top>
      <bottom style="thin">
        <color rgb="FF000000"/>
      </bottom>
    </border>
    <border>
      <left style="thin">
        <color rgb="FFFFFFFF"/>
      </left>
      <top style="medium">
        <color rgb="FFFFFFFF"/>
      </top>
      <bottom style="medium">
        <color rgb="FFFFFFFF"/>
      </bottom>
    </border>
    <border>
      <left style="thin">
        <color rgb="FFF3F3F3"/>
      </left>
      <bottom style="thin">
        <color rgb="FFEFEFEF"/>
      </bottom>
    </border>
    <border>
      <left style="thin">
        <color rgb="FFF3F3F3"/>
      </left>
      <top style="thin">
        <color rgb="FFEFEFEF"/>
      </top>
      <bottom style="thin">
        <color rgb="FFEFEFEF"/>
      </bottom>
    </border>
    <border>
      <left style="thin">
        <color rgb="FFFFFFFF"/>
      </left>
      <top style="medium">
        <color rgb="FFFFFFFF"/>
      </top>
      <bottom style="thin">
        <color rgb="FFFFFFFF"/>
      </bottom>
    </border>
    <border>
      <left style="thin">
        <color rgb="FFF3F3F3"/>
      </left>
      <top style="thin">
        <color rgb="FFEFEFEF"/>
      </top>
      <bottom style="thin">
        <color rgb="FFF3F3F3"/>
      </bottom>
    </border>
    <border>
      <left style="medium">
        <color rgb="FFFFFFFF"/>
      </left>
    </border>
    <border>
      <left style="thin">
        <color rgb="FFFFFFFF"/>
      </left>
      <right style="thin">
        <color rgb="FFFFFFFF"/>
      </right>
    </border>
    <border>
      <left style="thin">
        <color rgb="FF434343"/>
      </left>
      <top style="thin">
        <color rgb="FF434343"/>
      </top>
    </border>
    <border>
      <top style="thin">
        <color rgb="FF434343"/>
      </top>
    </border>
    <border>
      <left style="thin">
        <color rgb="FF000000"/>
      </left>
      <right style="thin">
        <color rgb="FF434343"/>
      </right>
      <top style="thin">
        <color rgb="FF434343"/>
      </top>
    </border>
    <border>
      <left style="thin">
        <color rgb="FF434343"/>
      </left>
    </border>
    <border>
      <left style="thin">
        <color rgb="FF000000"/>
      </left>
      <right style="thin">
        <color rgb="FF434343"/>
      </right>
    </border>
    <border>
      <left style="thin">
        <color rgb="FF434343"/>
      </left>
      <bottom style="thin">
        <color rgb="FF434343"/>
      </bottom>
    </border>
    <border>
      <bottom style="thin">
        <color rgb="FF434343"/>
      </bottom>
    </border>
    <border>
      <left style="thin">
        <color rgb="FF434343"/>
      </left>
      <right style="thin">
        <color rgb="FF000000"/>
      </right>
      <bottom style="thin">
        <color rgb="FF434343"/>
      </bottom>
    </border>
    <border>
      <left style="thin">
        <color rgb="FFFFFFFF"/>
      </left>
      <top style="thin">
        <color rgb="FF434343"/>
      </top>
    </border>
    <border>
      <left style="thin">
        <color rgb="FFFFFFFF"/>
      </left>
      <right style="thin">
        <color rgb="FFFFFFFF"/>
      </right>
      <top style="thin">
        <color rgb="FF434343"/>
      </top>
    </border>
    <border>
      <left style="thin">
        <color rgb="FFFFFFFF"/>
      </left>
      <right style="thin">
        <color rgb="FF434343"/>
      </right>
      <top style="thin">
        <color rgb="FF434343"/>
      </top>
    </border>
    <border>
      <right style="thin">
        <color rgb="FF434343"/>
      </right>
    </border>
    <border>
      <right style="thin">
        <color rgb="FF434343"/>
      </right>
      <bottom style="thin">
        <color rgb="FF000000"/>
      </bottom>
    </border>
    <border>
      <left style="thin">
        <color rgb="FF434343"/>
      </left>
      <right style="thin">
        <color rgb="FFFFFFFF"/>
      </right>
      <top style="thin">
        <color rgb="FF434343"/>
      </top>
    </border>
    <border>
      <right style="thin">
        <color rgb="FFFFFFFF"/>
      </right>
      <top style="thin">
        <color rgb="FF434343"/>
      </top>
    </border>
    <border>
      <right style="thin">
        <color rgb="FF000000"/>
      </right>
      <top style="thin">
        <color rgb="FF434343"/>
      </top>
    </border>
    <border>
      <left style="thin">
        <color rgb="FF434343"/>
      </left>
      <bottom style="thin">
        <color rgb="FFD9D9D9"/>
      </bottom>
    </border>
    <border>
      <bottom style="thin">
        <color rgb="FFD9D9D9"/>
      </bottom>
    </border>
    <border>
      <right style="thin">
        <color rgb="FF000000"/>
      </right>
    </border>
    <border>
      <right style="thin">
        <color rgb="FF000000"/>
      </right>
      <bottom style="thin">
        <color rgb="FF000000"/>
      </bottom>
    </border>
  </borders>
  <cellStyleXfs count="1">
    <xf borderId="0" fillId="0" fontId="0" numFmtId="0" applyAlignment="1" applyFont="1"/>
  </cellStyleXfs>
  <cellXfs count="328">
    <xf borderId="0" fillId="0" fontId="0" numFmtId="0" xfId="0" applyAlignment="1" applyFont="1">
      <alignment readingOrder="0" shrinkToFit="0" vertical="bottom" wrapText="0"/>
    </xf>
    <xf borderId="0" fillId="0" fontId="1" numFmtId="0" xfId="0" applyAlignment="1" applyFont="1">
      <alignment horizontal="center" readingOrder="0" shrinkToFit="0" vertical="center" wrapText="1"/>
    </xf>
    <xf borderId="0" fillId="0" fontId="2" numFmtId="0" xfId="0" applyAlignment="1" applyFont="1">
      <alignment horizontal="center" shrinkToFit="0" vertical="center" wrapText="1"/>
    </xf>
    <xf borderId="0" fillId="0" fontId="1" numFmtId="0" xfId="0" applyAlignment="1" applyFont="1">
      <alignment horizontal="center" readingOrder="0"/>
    </xf>
    <xf borderId="0" fillId="0" fontId="2" numFmtId="0" xfId="0" applyAlignment="1" applyFont="1">
      <alignment horizontal="center" readingOrder="0"/>
    </xf>
    <xf borderId="0" fillId="0" fontId="2" numFmtId="0" xfId="0" applyAlignment="1" applyFont="1">
      <alignment horizontal="center" readingOrder="0"/>
    </xf>
    <xf borderId="0" fillId="0" fontId="2" numFmtId="0" xfId="0" applyAlignment="1" applyFont="1">
      <alignment horizontal="left" readingOrder="0"/>
    </xf>
    <xf borderId="0" fillId="0" fontId="2" numFmtId="164" xfId="0" applyAlignment="1" applyFont="1" applyNumberFormat="1">
      <alignment horizontal="center" readingOrder="0"/>
    </xf>
    <xf borderId="0" fillId="0" fontId="2" numFmtId="0" xfId="0" applyAlignment="1" applyFont="1">
      <alignment horizontal="center"/>
    </xf>
    <xf borderId="0" fillId="2" fontId="2" numFmtId="0" xfId="0" applyAlignment="1" applyFill="1" applyFont="1">
      <alignment horizontal="left"/>
    </xf>
    <xf borderId="0" fillId="0" fontId="2" numFmtId="0" xfId="0" applyAlignment="1" applyFont="1">
      <alignment horizontal="left"/>
    </xf>
    <xf borderId="0" fillId="2" fontId="2" numFmtId="0" xfId="0" applyAlignment="1" applyFont="1">
      <alignment horizontal="center" readingOrder="0"/>
    </xf>
    <xf borderId="0" fillId="0" fontId="2" numFmtId="164" xfId="0" applyAlignment="1" applyFont="1" applyNumberFormat="1">
      <alignment horizontal="center"/>
    </xf>
    <xf borderId="0" fillId="0" fontId="2" numFmtId="0" xfId="0" applyFont="1"/>
    <xf borderId="0" fillId="3" fontId="3" numFmtId="0" xfId="0" applyAlignment="1" applyFill="1" applyFont="1">
      <alignment horizontal="center" readingOrder="0" shrinkToFit="0" vertical="bottom" wrapText="1"/>
    </xf>
    <xf borderId="0" fillId="4" fontId="4" numFmtId="0" xfId="0" applyAlignment="1" applyFill="1" applyFont="1">
      <alignment horizontal="center" readingOrder="0" shrinkToFit="0" vertical="bottom" wrapText="1"/>
    </xf>
    <xf borderId="0" fillId="4" fontId="3" numFmtId="0" xfId="0" applyAlignment="1" applyFont="1">
      <alignment horizontal="center" readingOrder="0" shrinkToFit="0" vertical="bottom" wrapText="1"/>
    </xf>
    <xf borderId="0" fillId="3" fontId="4" numFmtId="0" xfId="0" applyAlignment="1" applyFont="1">
      <alignment horizontal="center" readingOrder="0" shrinkToFit="0" vertical="bottom" wrapText="1"/>
    </xf>
    <xf borderId="0" fillId="0" fontId="5" numFmtId="0" xfId="0" applyAlignment="1" applyFont="1">
      <alignment shrinkToFit="0" vertical="center" wrapText="1"/>
    </xf>
    <xf borderId="0" fillId="0" fontId="6" numFmtId="0" xfId="0" applyAlignment="1" applyFont="1">
      <alignment shrinkToFit="0" vertical="center" wrapText="1"/>
    </xf>
    <xf borderId="0" fillId="0" fontId="7" numFmtId="0" xfId="0" applyAlignment="1" applyFont="1">
      <alignment horizontal="left" shrinkToFit="0" vertical="center" wrapText="1"/>
    </xf>
    <xf borderId="0" fillId="0" fontId="8" numFmtId="0" xfId="0" applyAlignment="1" applyFont="1">
      <alignment shrinkToFit="0" wrapText="1"/>
    </xf>
    <xf borderId="0" fillId="0" fontId="9" numFmtId="0" xfId="0" applyAlignment="1" applyFont="1">
      <alignment shrinkToFit="0" wrapText="1"/>
    </xf>
    <xf borderId="0" fillId="0" fontId="8" numFmtId="0" xfId="0" applyFont="1"/>
    <xf borderId="0" fillId="0" fontId="8" numFmtId="0" xfId="0" applyFont="1"/>
    <xf borderId="0" fillId="0" fontId="9" numFmtId="0" xfId="0" applyAlignment="1" applyFont="1">
      <alignment shrinkToFit="0" wrapText="1"/>
    </xf>
    <xf borderId="0" fillId="0" fontId="5" numFmtId="0" xfId="0" applyAlignment="1" applyFont="1">
      <alignment readingOrder="0" shrinkToFit="0" vertical="center" wrapText="1"/>
    </xf>
    <xf borderId="0" fillId="0" fontId="10" numFmtId="0" xfId="0" applyAlignment="1" applyFont="1">
      <alignment shrinkToFit="0" vertical="center" wrapText="1"/>
    </xf>
    <xf borderId="0" fillId="0" fontId="11" numFmtId="0" xfId="0" applyAlignment="1" applyFont="1">
      <alignment shrinkToFit="0" vertical="center" wrapText="1"/>
    </xf>
    <xf borderId="0" fillId="0" fontId="10" numFmtId="0" xfId="0" applyAlignment="1" applyFont="1">
      <alignment shrinkToFit="0" vertical="center" wrapText="1"/>
    </xf>
    <xf borderId="0" fillId="0" fontId="11" numFmtId="0" xfId="0" applyAlignment="1" applyFont="1">
      <alignment shrinkToFit="0" vertical="center" wrapText="1"/>
    </xf>
    <xf borderId="0" fillId="0" fontId="6" numFmtId="0" xfId="0" applyAlignment="1" applyFont="1">
      <alignment readingOrder="0" shrinkToFit="0" vertical="center" wrapText="1"/>
    </xf>
    <xf borderId="0" fillId="0" fontId="10" numFmtId="0" xfId="0" applyAlignment="1" applyFont="1">
      <alignment readingOrder="0" shrinkToFit="0" vertical="center" wrapText="1"/>
    </xf>
    <xf borderId="0" fillId="5" fontId="10" numFmtId="0" xfId="0" applyAlignment="1" applyFill="1" applyFont="1">
      <alignment shrinkToFit="0" vertical="center" wrapText="1"/>
    </xf>
    <xf borderId="0" fillId="6" fontId="12" numFmtId="0" xfId="0" applyAlignment="1" applyFill="1" applyFont="1">
      <alignment horizontal="center" readingOrder="0"/>
    </xf>
    <xf borderId="0" fillId="7" fontId="5" numFmtId="0" xfId="0" applyAlignment="1" applyFill="1" applyFont="1">
      <alignment readingOrder="0" shrinkToFit="0" vertical="center" wrapText="1"/>
    </xf>
    <xf borderId="0" fillId="0" fontId="11" numFmtId="0" xfId="0" applyAlignment="1" applyFont="1">
      <alignment readingOrder="0" shrinkToFit="0" vertical="center" wrapText="1"/>
    </xf>
    <xf borderId="0" fillId="0" fontId="10" numFmtId="49" xfId="0" applyAlignment="1" applyFont="1" applyNumberFormat="1">
      <alignment shrinkToFit="0" vertical="center" wrapText="1"/>
    </xf>
    <xf borderId="0" fillId="0" fontId="10" numFmtId="20" xfId="0" applyAlignment="1" applyFont="1" applyNumberFormat="1">
      <alignment shrinkToFit="0" vertical="center" wrapText="1"/>
    </xf>
    <xf borderId="0" fillId="0" fontId="10" numFmtId="1" xfId="0" applyAlignment="1" applyFont="1" applyNumberFormat="1">
      <alignment shrinkToFit="0" vertical="center" wrapText="1"/>
    </xf>
    <xf borderId="0" fillId="0" fontId="10" numFmtId="165" xfId="0" applyAlignment="1" applyFont="1" applyNumberFormat="1">
      <alignment shrinkToFit="0" vertical="center" wrapText="1"/>
    </xf>
    <xf borderId="0" fillId="0" fontId="10" numFmtId="9" xfId="0" applyAlignment="1" applyFont="1" applyNumberFormat="1">
      <alignment shrinkToFit="0" vertical="center" wrapText="1"/>
    </xf>
    <xf borderId="0" fillId="0" fontId="2" numFmtId="9" xfId="0" applyFont="1" applyNumberFormat="1"/>
    <xf borderId="0" fillId="3" fontId="3" numFmtId="0" xfId="0" applyAlignment="1" applyFont="1">
      <alignment readingOrder="0"/>
    </xf>
    <xf borderId="0" fillId="3" fontId="13" numFmtId="0" xfId="0" applyAlignment="1" applyFont="1">
      <alignment vertical="bottom"/>
    </xf>
    <xf borderId="0" fillId="4" fontId="14" numFmtId="0" xfId="0" applyAlignment="1" applyFont="1">
      <alignment readingOrder="0" vertical="bottom"/>
    </xf>
    <xf borderId="0" fillId="4" fontId="4" numFmtId="0" xfId="0" applyAlignment="1" applyFont="1">
      <alignment readingOrder="0" shrinkToFit="0" vertical="bottom" wrapText="1"/>
    </xf>
    <xf borderId="0" fillId="0" fontId="13" numFmtId="0" xfId="0" applyAlignment="1" applyFont="1">
      <alignment vertical="bottom"/>
    </xf>
    <xf borderId="0" fillId="0" fontId="15" numFmtId="0" xfId="0" applyAlignment="1" applyFont="1">
      <alignment shrinkToFit="0" vertical="center" wrapText="1"/>
    </xf>
    <xf borderId="0" fillId="0" fontId="16" numFmtId="0" xfId="0" applyAlignment="1" applyFont="1">
      <alignment shrinkToFit="0" vertical="center" wrapText="1"/>
    </xf>
    <xf borderId="0" fillId="0" fontId="15" numFmtId="0" xfId="0" applyFont="1"/>
    <xf borderId="0" fillId="3" fontId="13" numFmtId="0" xfId="0" applyAlignment="1" applyFont="1">
      <alignment readingOrder="0"/>
    </xf>
    <xf borderId="0" fillId="0" fontId="17" numFmtId="0" xfId="0" applyAlignment="1" applyFont="1">
      <alignment readingOrder="0"/>
    </xf>
    <xf borderId="0" fillId="0" fontId="15" numFmtId="0" xfId="0" applyFont="1"/>
    <xf borderId="0" fillId="0" fontId="15" numFmtId="0" xfId="0" applyAlignment="1" applyFont="1">
      <alignment readingOrder="0"/>
    </xf>
    <xf borderId="0" fillId="0" fontId="18" numFmtId="0" xfId="0" applyAlignment="1" applyFont="1">
      <alignment horizontal="center"/>
    </xf>
    <xf borderId="1" fillId="0" fontId="15" numFmtId="0" xfId="0" applyBorder="1" applyFont="1"/>
    <xf borderId="2" fillId="0" fontId="15" numFmtId="0" xfId="0" applyAlignment="1" applyBorder="1" applyFont="1">
      <alignment readingOrder="0" vertical="center"/>
    </xf>
    <xf borderId="3" fillId="8" fontId="19" numFmtId="0" xfId="0" applyAlignment="1" applyBorder="1" applyFill="1" applyFont="1">
      <alignment horizontal="left" readingOrder="0" vertical="center"/>
    </xf>
    <xf borderId="4" fillId="0" fontId="20" numFmtId="0" xfId="0" applyBorder="1" applyFont="1"/>
    <xf borderId="5" fillId="0" fontId="13" numFmtId="0" xfId="0" applyAlignment="1" applyBorder="1" applyFont="1">
      <alignment vertical="bottom"/>
    </xf>
    <xf borderId="6" fillId="0" fontId="13" numFmtId="165" xfId="0" applyAlignment="1" applyBorder="1" applyFont="1" applyNumberFormat="1">
      <alignment vertical="bottom"/>
    </xf>
    <xf borderId="7" fillId="0" fontId="20" numFmtId="0" xfId="0" applyBorder="1" applyFont="1"/>
    <xf borderId="8" fillId="0" fontId="20" numFmtId="0" xfId="0" applyBorder="1" applyFont="1"/>
    <xf borderId="9" fillId="0" fontId="20" numFmtId="0" xfId="0" applyBorder="1" applyFont="1"/>
    <xf borderId="10" fillId="0" fontId="15" numFmtId="0" xfId="0" applyBorder="1" applyFont="1"/>
    <xf borderId="9" fillId="0" fontId="21" numFmtId="0" xfId="0" applyAlignment="1" applyBorder="1" applyFont="1">
      <alignment vertical="top"/>
    </xf>
    <xf borderId="7" fillId="0" fontId="10" numFmtId="165" xfId="0" applyAlignment="1" applyBorder="1" applyFont="1" applyNumberFormat="1">
      <alignment horizontal="left" readingOrder="0" vertical="top"/>
    </xf>
    <xf borderId="6" fillId="0" fontId="22" numFmtId="0" xfId="0" applyAlignment="1" applyBorder="1" applyFont="1">
      <alignment readingOrder="0"/>
    </xf>
    <xf borderId="6" fillId="0" fontId="15" numFmtId="0" xfId="0" applyAlignment="1" applyBorder="1" applyFont="1">
      <alignment readingOrder="0"/>
    </xf>
    <xf borderId="6" fillId="0" fontId="22" numFmtId="0" xfId="0" applyAlignment="1" applyBorder="1" applyFont="1">
      <alignment vertical="bottom"/>
    </xf>
    <xf borderId="6" fillId="0" fontId="23" numFmtId="0" xfId="0" applyAlignment="1" applyBorder="1" applyFont="1">
      <alignment horizontal="center" readingOrder="0"/>
    </xf>
    <xf borderId="6" fillId="0" fontId="15" numFmtId="0" xfId="0" applyBorder="1" applyFont="1"/>
    <xf borderId="6" fillId="0" fontId="3" numFmtId="0" xfId="0" applyAlignment="1" applyBorder="1" applyFont="1">
      <alignment vertical="bottom"/>
    </xf>
    <xf borderId="0" fillId="8" fontId="24" numFmtId="0" xfId="0" applyAlignment="1" applyFont="1">
      <alignment horizontal="left" readingOrder="0"/>
    </xf>
    <xf borderId="1" fillId="0" fontId="25" numFmtId="0" xfId="0" applyAlignment="1" applyBorder="1" applyFont="1">
      <alignment vertical="bottom"/>
    </xf>
    <xf borderId="1" fillId="0" fontId="15" numFmtId="165" xfId="0" applyAlignment="1" applyBorder="1" applyFont="1" applyNumberFormat="1">
      <alignment horizontal="center" readingOrder="0"/>
    </xf>
    <xf borderId="2" fillId="0" fontId="15" numFmtId="0" xfId="0" applyAlignment="1" applyBorder="1" applyFont="1">
      <alignment readingOrder="0"/>
    </xf>
    <xf borderId="2" fillId="0" fontId="15" numFmtId="0" xfId="0" applyBorder="1" applyFont="1"/>
    <xf borderId="11" fillId="0" fontId="15" numFmtId="0" xfId="0" applyBorder="1" applyFont="1"/>
    <xf borderId="1" fillId="0" fontId="26" numFmtId="0" xfId="0" applyAlignment="1" applyBorder="1" applyFont="1">
      <alignment readingOrder="0"/>
    </xf>
    <xf borderId="1" fillId="0" fontId="2" numFmtId="0" xfId="0" applyBorder="1" applyFont="1"/>
    <xf borderId="12" fillId="0" fontId="15" numFmtId="0" xfId="0" applyBorder="1" applyFont="1"/>
    <xf borderId="1" fillId="0" fontId="15" numFmtId="0" xfId="0" applyAlignment="1" applyBorder="1" applyFont="1">
      <alignment readingOrder="0"/>
    </xf>
    <xf borderId="1" fillId="0" fontId="15" numFmtId="0" xfId="0" applyAlignment="1" applyBorder="1" applyFont="1">
      <alignment readingOrder="0"/>
    </xf>
    <xf borderId="13" fillId="0" fontId="13" numFmtId="0" xfId="0" applyAlignment="1" applyBorder="1" applyFont="1">
      <alignment readingOrder="0"/>
    </xf>
    <xf borderId="1" fillId="0" fontId="27" numFmtId="0" xfId="0" applyAlignment="1" applyBorder="1" applyFont="1">
      <alignment readingOrder="0"/>
    </xf>
    <xf borderId="1" fillId="0" fontId="15" numFmtId="0" xfId="0" applyAlignment="1" applyBorder="1" applyFont="1">
      <alignment readingOrder="0"/>
    </xf>
    <xf borderId="1" fillId="0" fontId="28" numFmtId="0" xfId="0" applyAlignment="1" applyBorder="1" applyFont="1">
      <alignment readingOrder="0"/>
    </xf>
    <xf borderId="1" fillId="0" fontId="13" numFmtId="0" xfId="0" applyAlignment="1" applyBorder="1" applyFont="1">
      <alignment readingOrder="0"/>
    </xf>
    <xf borderId="1" fillId="0" fontId="29" numFmtId="0" xfId="0" applyAlignment="1" applyBorder="1" applyFont="1">
      <alignment readingOrder="0"/>
    </xf>
    <xf borderId="1" fillId="0" fontId="15" numFmtId="165" xfId="0" applyAlignment="1" applyBorder="1" applyFont="1" applyNumberFormat="1">
      <alignment horizontal="left" readingOrder="0"/>
    </xf>
    <xf borderId="13" fillId="0" fontId="30" numFmtId="0" xfId="0" applyAlignment="1" applyBorder="1" applyFont="1">
      <alignment readingOrder="0"/>
    </xf>
    <xf borderId="14" fillId="0" fontId="30" numFmtId="0" xfId="0" applyAlignment="1" applyBorder="1" applyFont="1">
      <alignment readingOrder="0" vertical="center"/>
    </xf>
    <xf borderId="14" fillId="0" fontId="20" numFmtId="0" xfId="0" applyBorder="1" applyFont="1"/>
    <xf borderId="13" fillId="0" fontId="15" numFmtId="0" xfId="0" applyAlignment="1" applyBorder="1" applyFont="1">
      <alignment readingOrder="0"/>
    </xf>
    <xf borderId="15" fillId="0" fontId="15" numFmtId="0" xfId="0" applyAlignment="1" applyBorder="1" applyFont="1">
      <alignment readingOrder="0"/>
    </xf>
    <xf borderId="16" fillId="0" fontId="20" numFmtId="0" xfId="0" applyBorder="1" applyFont="1"/>
    <xf borderId="17" fillId="0" fontId="20" numFmtId="0" xfId="0" applyBorder="1" applyFont="1"/>
    <xf borderId="13" fillId="0" fontId="15" numFmtId="0" xfId="0" applyBorder="1" applyFont="1"/>
    <xf borderId="13" fillId="0" fontId="31" numFmtId="0" xfId="0" applyAlignment="1" applyBorder="1" applyFont="1">
      <alignment readingOrder="0"/>
    </xf>
    <xf borderId="13" fillId="0" fontId="15" numFmtId="0" xfId="0" applyAlignment="1" applyBorder="1" applyFont="1">
      <alignment readingOrder="0"/>
    </xf>
    <xf borderId="18" fillId="0" fontId="15" numFmtId="0" xfId="0" applyAlignment="1" applyBorder="1" applyFont="1">
      <alignment readingOrder="0"/>
    </xf>
    <xf borderId="18" fillId="0" fontId="15" numFmtId="0" xfId="0" applyBorder="1" applyFont="1"/>
    <xf borderId="19" fillId="0" fontId="15" numFmtId="0" xfId="0" applyAlignment="1" applyBorder="1" applyFont="1">
      <alignment horizontal="left"/>
    </xf>
    <xf borderId="20" fillId="8" fontId="30" numFmtId="0" xfId="0" applyAlignment="1" applyBorder="1" applyFont="1">
      <alignment readingOrder="0"/>
    </xf>
    <xf borderId="3" fillId="9" fontId="32" numFmtId="0" xfId="0" applyAlignment="1" applyBorder="1" applyFill="1" applyFont="1">
      <alignment readingOrder="0"/>
    </xf>
    <xf borderId="21" fillId="9" fontId="32" numFmtId="0" xfId="0" applyAlignment="1" applyBorder="1" applyFont="1">
      <alignment readingOrder="0"/>
    </xf>
    <xf borderId="4" fillId="9" fontId="32" numFmtId="0" xfId="0" applyAlignment="1" applyBorder="1" applyFont="1">
      <alignment horizontal="left" readingOrder="0"/>
    </xf>
    <xf borderId="22" fillId="8" fontId="15" numFmtId="0" xfId="0" applyAlignment="1" applyBorder="1" applyFont="1">
      <alignment readingOrder="0" vertical="center"/>
    </xf>
    <xf borderId="0" fillId="8" fontId="15" numFmtId="0" xfId="0" applyAlignment="1" applyFont="1">
      <alignment readingOrder="0" shrinkToFit="0" vertical="center" wrapText="1"/>
    </xf>
    <xf borderId="0" fillId="10" fontId="15" numFmtId="0" xfId="0" applyAlignment="1" applyFill="1" applyFont="1">
      <alignment horizontal="center" readingOrder="0" vertical="center"/>
    </xf>
    <xf borderId="0" fillId="8" fontId="15" numFmtId="0" xfId="0" applyAlignment="1" applyFont="1">
      <alignment horizontal="center" readingOrder="0" vertical="center"/>
    </xf>
    <xf borderId="23" fillId="8" fontId="15" numFmtId="0" xfId="0" applyAlignment="1" applyBorder="1" applyFont="1">
      <alignment horizontal="left" readingOrder="0" vertical="center"/>
    </xf>
    <xf borderId="22" fillId="6" fontId="15" numFmtId="0" xfId="0" applyAlignment="1" applyBorder="1" applyFont="1">
      <alignment readingOrder="0" vertical="center"/>
    </xf>
    <xf borderId="0" fillId="6" fontId="15" numFmtId="0" xfId="0" applyAlignment="1" applyFont="1">
      <alignment readingOrder="0" shrinkToFit="0" vertical="center" wrapText="1"/>
    </xf>
    <xf borderId="0" fillId="6" fontId="15" numFmtId="0" xfId="0" applyAlignment="1" applyFont="1">
      <alignment horizontal="center" readingOrder="0" vertical="center"/>
    </xf>
    <xf borderId="23" fillId="6" fontId="15" numFmtId="0" xfId="0" applyAlignment="1" applyBorder="1" applyFont="1">
      <alignment horizontal="left" readingOrder="0" vertical="center"/>
    </xf>
    <xf borderId="23" fillId="6" fontId="15" numFmtId="0" xfId="0" applyAlignment="1" applyBorder="1" applyFont="1">
      <alignment horizontal="left" readingOrder="0" vertical="center"/>
    </xf>
    <xf borderId="23" fillId="8" fontId="15" numFmtId="0" xfId="0" applyAlignment="1" applyBorder="1" applyFont="1">
      <alignment horizontal="left" readingOrder="0" vertical="center"/>
    </xf>
    <xf borderId="23" fillId="6" fontId="15" numFmtId="0" xfId="0" applyAlignment="1" applyBorder="1" applyFont="1">
      <alignment horizontal="left" readingOrder="0" shrinkToFit="0" vertical="center" wrapText="1"/>
    </xf>
    <xf borderId="22" fillId="8" fontId="15" numFmtId="0" xfId="0" applyAlignment="1" applyBorder="1" applyFont="1">
      <alignment readingOrder="0" shrinkToFit="0" vertical="center" wrapText="1"/>
    </xf>
    <xf borderId="0" fillId="10" fontId="15" numFmtId="0" xfId="0" applyAlignment="1" applyFont="1">
      <alignment horizontal="center" readingOrder="0" shrinkToFit="0" vertical="center" wrapText="1"/>
    </xf>
    <xf borderId="0" fillId="8" fontId="15" numFmtId="0" xfId="0" applyAlignment="1" applyFont="1">
      <alignment horizontal="center" readingOrder="0" shrinkToFit="0" vertical="center" wrapText="1"/>
    </xf>
    <xf borderId="23" fillId="8" fontId="15" numFmtId="0" xfId="0" applyAlignment="1" applyBorder="1" applyFont="1">
      <alignment horizontal="left" readingOrder="0" shrinkToFit="0" vertical="center" wrapText="1"/>
    </xf>
    <xf borderId="0" fillId="6" fontId="15" numFmtId="0" xfId="0" applyAlignment="1" applyFont="1">
      <alignment readingOrder="0" shrinkToFit="0" vertical="center" wrapText="1"/>
    </xf>
    <xf borderId="23" fillId="8" fontId="15" numFmtId="0" xfId="0" applyAlignment="1" applyBorder="1" applyFont="1">
      <alignment horizontal="left" readingOrder="0" shrinkToFit="0" vertical="center" wrapText="1"/>
    </xf>
    <xf borderId="23" fillId="6" fontId="15" numFmtId="0" xfId="0" applyAlignment="1" applyBorder="1" applyFont="1">
      <alignment readingOrder="0" vertical="center"/>
    </xf>
    <xf borderId="0" fillId="8" fontId="15" numFmtId="0" xfId="0" applyAlignment="1" applyFont="1">
      <alignment readingOrder="0" shrinkToFit="0" vertical="center" wrapText="1"/>
    </xf>
    <xf borderId="23" fillId="8" fontId="15" numFmtId="0" xfId="0" applyAlignment="1" applyBorder="1" applyFont="1">
      <alignment readingOrder="0" vertical="center"/>
    </xf>
    <xf borderId="24" fillId="6" fontId="15" numFmtId="0" xfId="0" applyAlignment="1" applyBorder="1" applyFont="1">
      <alignment readingOrder="0" vertical="center"/>
    </xf>
    <xf borderId="25" fillId="6" fontId="15" numFmtId="0" xfId="0" applyAlignment="1" applyBorder="1" applyFont="1">
      <alignment readingOrder="0" shrinkToFit="0" vertical="center" wrapText="1"/>
    </xf>
    <xf borderId="25" fillId="10" fontId="15" numFmtId="0" xfId="0" applyAlignment="1" applyBorder="1" applyFont="1">
      <alignment horizontal="center" readingOrder="0" vertical="center"/>
    </xf>
    <xf borderId="25" fillId="6" fontId="15" numFmtId="0" xfId="0" applyAlignment="1" applyBorder="1" applyFont="1">
      <alignment horizontal="center" readingOrder="0" vertical="center"/>
    </xf>
    <xf borderId="5" fillId="6" fontId="15" numFmtId="0" xfId="0" applyAlignment="1" applyBorder="1" applyFont="1">
      <alignment horizontal="left" readingOrder="0" shrinkToFit="0" vertical="center" wrapText="1"/>
    </xf>
    <xf borderId="13" fillId="0" fontId="33" numFmtId="0" xfId="0" applyAlignment="1" applyBorder="1" applyFont="1">
      <alignment readingOrder="0"/>
    </xf>
    <xf borderId="13" fillId="0" fontId="2" numFmtId="0" xfId="0" applyAlignment="1" applyBorder="1" applyFont="1">
      <alignment readingOrder="0"/>
    </xf>
    <xf borderId="20" fillId="0" fontId="2" numFmtId="0" xfId="0" applyAlignment="1" applyBorder="1" applyFont="1">
      <alignment readingOrder="0"/>
    </xf>
    <xf borderId="26" fillId="0" fontId="20" numFmtId="0" xfId="0" applyBorder="1" applyFont="1"/>
    <xf borderId="27" fillId="0" fontId="20" numFmtId="0" xfId="0" applyBorder="1" applyFont="1"/>
    <xf borderId="13" fillId="0" fontId="15" numFmtId="0" xfId="0" applyAlignment="1" applyBorder="1" applyFont="1">
      <alignment readingOrder="0"/>
    </xf>
    <xf borderId="18" fillId="0" fontId="2" numFmtId="0" xfId="0" applyAlignment="1" applyBorder="1" applyFont="1">
      <alignment readingOrder="0"/>
    </xf>
    <xf borderId="0" fillId="8" fontId="32" numFmtId="0" xfId="0" applyAlignment="1" applyFont="1">
      <alignment readingOrder="0"/>
    </xf>
    <xf borderId="4" fillId="9" fontId="32" numFmtId="0" xfId="0" applyAlignment="1" applyBorder="1" applyFont="1">
      <alignment readingOrder="0"/>
    </xf>
    <xf borderId="20" fillId="8" fontId="2" numFmtId="0" xfId="0" applyAlignment="1" applyBorder="1" applyFont="1">
      <alignment readingOrder="0"/>
    </xf>
    <xf borderId="0" fillId="8" fontId="15" numFmtId="0" xfId="0" applyAlignment="1" applyFont="1">
      <alignment readingOrder="0" vertical="center"/>
    </xf>
    <xf borderId="23" fillId="8" fontId="15" numFmtId="0" xfId="0" applyAlignment="1" applyBorder="1" applyFont="1">
      <alignment horizontal="center" readingOrder="0" vertical="center"/>
    </xf>
    <xf borderId="0" fillId="6" fontId="15" numFmtId="0" xfId="0" applyAlignment="1" applyFont="1">
      <alignment readingOrder="0" vertical="center"/>
    </xf>
    <xf borderId="0" fillId="6" fontId="15" numFmtId="0" xfId="0" applyAlignment="1" applyFont="1">
      <alignment horizontal="center" readingOrder="0" shrinkToFit="0" vertical="center" wrapText="1"/>
    </xf>
    <xf borderId="23" fillId="6" fontId="15" numFmtId="0" xfId="0" applyAlignment="1" applyBorder="1" applyFont="1">
      <alignment horizontal="center" readingOrder="0" vertical="center"/>
    </xf>
    <xf borderId="20" fillId="8" fontId="2" numFmtId="0" xfId="0" applyAlignment="1" applyBorder="1" applyFont="1">
      <alignment readingOrder="0" shrinkToFit="0" wrapText="1"/>
    </xf>
    <xf borderId="0" fillId="8" fontId="17" numFmtId="0" xfId="0" applyAlignment="1" applyFont="1">
      <alignment readingOrder="0" shrinkToFit="0" vertical="center" wrapText="1"/>
    </xf>
    <xf borderId="23" fillId="8" fontId="15" numFmtId="0" xfId="0" applyAlignment="1" applyBorder="1" applyFont="1">
      <alignment horizontal="center" readingOrder="0" shrinkToFit="0" vertical="center" wrapText="1"/>
    </xf>
    <xf borderId="20" fillId="5" fontId="2" numFmtId="0" xfId="0" applyAlignment="1" applyBorder="1" applyFont="1">
      <alignment readingOrder="0"/>
    </xf>
    <xf borderId="22" fillId="5" fontId="17" numFmtId="0" xfId="0" applyAlignment="1" applyBorder="1" applyFont="1">
      <alignment readingOrder="0" vertical="center"/>
    </xf>
    <xf borderId="0" fillId="5" fontId="17" numFmtId="0" xfId="0" applyAlignment="1" applyFont="1">
      <alignment readingOrder="0" vertical="center"/>
    </xf>
    <xf borderId="0" fillId="5" fontId="15" numFmtId="0" xfId="0" applyAlignment="1" applyFont="1">
      <alignment horizontal="center" readingOrder="0" vertical="center"/>
    </xf>
    <xf borderId="23" fillId="5" fontId="15" numFmtId="0" xfId="0" applyAlignment="1" applyBorder="1" applyFont="1">
      <alignment horizontal="center" readingOrder="0" vertical="center"/>
    </xf>
    <xf borderId="20" fillId="6" fontId="2" numFmtId="0" xfId="0" applyAlignment="1" applyBorder="1" applyFont="1">
      <alignment readingOrder="0"/>
    </xf>
    <xf borderId="0" fillId="8" fontId="17" numFmtId="0" xfId="0" applyAlignment="1" applyFont="1">
      <alignment readingOrder="0" vertical="center"/>
    </xf>
    <xf borderId="0" fillId="6" fontId="17" numFmtId="0" xfId="0" applyAlignment="1" applyFont="1">
      <alignment readingOrder="0" vertical="center"/>
    </xf>
    <xf borderId="0" fillId="6" fontId="15" numFmtId="0" xfId="0" applyAlignment="1" applyFont="1">
      <alignment readingOrder="0" vertical="center"/>
    </xf>
    <xf borderId="25" fillId="6" fontId="15" numFmtId="0" xfId="0" applyAlignment="1" applyBorder="1" applyFont="1">
      <alignment readingOrder="0" vertical="center"/>
    </xf>
    <xf borderId="5" fillId="6" fontId="15" numFmtId="0" xfId="0" applyAlignment="1" applyBorder="1" applyFont="1">
      <alignment horizontal="center" readingOrder="0" vertical="center"/>
    </xf>
    <xf borderId="13" fillId="0" fontId="30" numFmtId="0" xfId="0" applyAlignment="1" applyBorder="1" applyFont="1">
      <alignment readingOrder="0" vertical="center"/>
    </xf>
    <xf borderId="13" fillId="0" fontId="2" numFmtId="0" xfId="0" applyBorder="1" applyFont="1"/>
    <xf borderId="13" fillId="0" fontId="2" numFmtId="0" xfId="0" applyAlignment="1" applyBorder="1" applyFont="1">
      <alignment readingOrder="0"/>
    </xf>
    <xf borderId="13" fillId="0" fontId="2" numFmtId="0" xfId="0" applyAlignment="1" applyBorder="1" applyFont="1">
      <alignment readingOrder="0"/>
    </xf>
    <xf borderId="18" fillId="0" fontId="2" numFmtId="0" xfId="0" applyBorder="1" applyFont="1"/>
    <xf borderId="20" fillId="8" fontId="2" numFmtId="0" xfId="0" applyAlignment="1" applyBorder="1" applyFont="1">
      <alignment shrinkToFit="0" wrapText="1"/>
    </xf>
    <xf borderId="3" fillId="9" fontId="32" numFmtId="0" xfId="0" applyAlignment="1" applyBorder="1" applyFont="1">
      <alignment shrinkToFit="0" wrapText="1"/>
    </xf>
    <xf borderId="4" fillId="9" fontId="32" numFmtId="0" xfId="0" applyAlignment="1" applyBorder="1" applyFont="1">
      <alignment shrinkToFit="0" wrapText="1"/>
    </xf>
    <xf borderId="20" fillId="0" fontId="2" numFmtId="0" xfId="0" applyAlignment="1" applyBorder="1" applyFont="1">
      <alignment shrinkToFit="0" wrapText="1"/>
    </xf>
    <xf borderId="22" fillId="0" fontId="15" numFmtId="0" xfId="0" applyAlignment="1" applyBorder="1" applyFont="1">
      <alignment shrinkToFit="0" vertical="center" wrapText="1"/>
    </xf>
    <xf borderId="23" fillId="0" fontId="15" numFmtId="0" xfId="0" applyAlignment="1" applyBorder="1" applyFont="1">
      <alignment shrinkToFit="0" vertical="center" wrapText="1"/>
    </xf>
    <xf borderId="23" fillId="0" fontId="15" numFmtId="0" xfId="0" applyAlignment="1" applyBorder="1" applyFont="1">
      <alignment readingOrder="0" shrinkToFit="0" vertical="center" wrapText="1"/>
    </xf>
    <xf borderId="20" fillId="0" fontId="2" numFmtId="0" xfId="0" applyAlignment="1" applyBorder="1" applyFont="1">
      <alignment readingOrder="0" shrinkToFit="0" wrapText="1"/>
    </xf>
    <xf borderId="22" fillId="0" fontId="15" numFmtId="0" xfId="0" applyAlignment="1" applyBorder="1" applyFont="1">
      <alignment readingOrder="0" shrinkToFit="0" vertical="center" wrapText="1"/>
    </xf>
    <xf borderId="24" fillId="0" fontId="15" numFmtId="0" xfId="0" applyAlignment="1" applyBorder="1" applyFont="1">
      <alignment shrinkToFit="0" vertical="center" wrapText="1"/>
    </xf>
    <xf borderId="5" fillId="0" fontId="15" numFmtId="0" xfId="0" applyAlignment="1" applyBorder="1" applyFont="1">
      <alignment shrinkToFit="0" vertical="center" wrapText="1"/>
    </xf>
    <xf borderId="13" fillId="0" fontId="33" numFmtId="0" xfId="0" applyAlignment="1" applyBorder="1" applyFont="1">
      <alignment readingOrder="0"/>
    </xf>
    <xf borderId="13" fillId="0" fontId="34" numFmtId="0" xfId="0" applyAlignment="1" applyBorder="1" applyFont="1">
      <alignment readingOrder="0"/>
    </xf>
    <xf borderId="13" fillId="0" fontId="2" numFmtId="0" xfId="0" applyBorder="1" applyFont="1"/>
    <xf borderId="18" fillId="0" fontId="2" numFmtId="0" xfId="0" applyBorder="1" applyFont="1"/>
    <xf borderId="0" fillId="8" fontId="2" numFmtId="0" xfId="0" applyFont="1"/>
    <xf borderId="11" fillId="9" fontId="35" numFmtId="0" xfId="0" applyBorder="1" applyFont="1"/>
    <xf borderId="28" fillId="9" fontId="35" numFmtId="0" xfId="0" applyBorder="1" applyFont="1"/>
    <xf borderId="20" fillId="0" fontId="2" numFmtId="0" xfId="0" applyBorder="1" applyFont="1"/>
    <xf borderId="22" fillId="0" fontId="2" numFmtId="0" xfId="0" applyAlignment="1" applyBorder="1" applyFont="1">
      <alignment vertical="center"/>
    </xf>
    <xf borderId="23" fillId="0" fontId="2" numFmtId="0" xfId="0" applyAlignment="1" applyBorder="1" applyFont="1">
      <alignment shrinkToFit="0" vertical="center" wrapText="1"/>
    </xf>
    <xf borderId="20" fillId="8" fontId="2" numFmtId="0" xfId="0" applyBorder="1" applyFont="1"/>
    <xf borderId="20" fillId="0" fontId="2" numFmtId="0" xfId="0" applyBorder="1" applyFont="1"/>
    <xf borderId="22" fillId="0" fontId="2" numFmtId="0" xfId="0" applyAlignment="1" applyBorder="1" applyFont="1">
      <alignment vertical="center"/>
    </xf>
    <xf borderId="20" fillId="8" fontId="2" numFmtId="0" xfId="0" applyBorder="1" applyFont="1"/>
    <xf borderId="23" fillId="0" fontId="2" numFmtId="0" xfId="0" applyAlignment="1" applyBorder="1" applyFont="1">
      <alignment readingOrder="0" shrinkToFit="0" vertical="center" wrapText="1"/>
    </xf>
    <xf borderId="23" fillId="0" fontId="36" numFmtId="0" xfId="0" applyAlignment="1" applyBorder="1" applyFont="1">
      <alignment readingOrder="0" shrinkToFit="0" vertical="center" wrapText="1"/>
    </xf>
    <xf borderId="24" fillId="0" fontId="2" numFmtId="0" xfId="0" applyAlignment="1" applyBorder="1" applyFont="1">
      <alignment readingOrder="0" vertical="center"/>
    </xf>
    <xf borderId="5" fillId="0" fontId="2" numFmtId="0" xfId="0" applyAlignment="1" applyBorder="1" applyFont="1">
      <alignment readingOrder="0" shrinkToFit="0" vertical="center" wrapText="1"/>
    </xf>
    <xf borderId="14" fillId="8" fontId="19" numFmtId="0" xfId="0" applyAlignment="1" applyBorder="1" applyFont="1">
      <alignment horizontal="left" readingOrder="0" vertical="center"/>
    </xf>
    <xf borderId="13" fillId="8" fontId="19" numFmtId="0" xfId="0" applyAlignment="1" applyBorder="1" applyFont="1">
      <alignment horizontal="left" readingOrder="0"/>
    </xf>
    <xf borderId="20" fillId="0" fontId="15" numFmtId="0" xfId="0" applyBorder="1" applyFont="1"/>
    <xf borderId="29" fillId="0" fontId="15" numFmtId="0" xfId="0" applyBorder="1" applyFont="1"/>
    <xf borderId="13" fillId="8" fontId="15" numFmtId="0" xfId="0" applyAlignment="1" applyBorder="1" applyFont="1">
      <alignment readingOrder="0" vertical="bottom"/>
    </xf>
    <xf borderId="13" fillId="8" fontId="15" numFmtId="0" xfId="0" applyAlignment="1" applyBorder="1" applyFont="1">
      <alignment readingOrder="0"/>
    </xf>
    <xf borderId="18" fillId="8" fontId="15" numFmtId="0" xfId="0" applyAlignment="1" applyBorder="1" applyFont="1">
      <alignment vertical="bottom"/>
    </xf>
    <xf borderId="30" fillId="4" fontId="15" numFmtId="0" xfId="0" applyAlignment="1" applyBorder="1" applyFont="1">
      <alignment vertical="bottom"/>
    </xf>
    <xf borderId="27" fillId="8" fontId="15" numFmtId="0" xfId="0" applyAlignment="1" applyBorder="1" applyFont="1">
      <alignment readingOrder="0"/>
    </xf>
    <xf borderId="31" fillId="4" fontId="15" numFmtId="0" xfId="0" applyAlignment="1" applyBorder="1" applyFont="1">
      <alignment vertical="bottom"/>
    </xf>
    <xf borderId="32" fillId="4" fontId="15" numFmtId="0" xfId="0" applyAlignment="1" applyBorder="1" applyFont="1">
      <alignment vertical="bottom"/>
    </xf>
    <xf borderId="33" fillId="0" fontId="15" numFmtId="0" xfId="0" applyBorder="1" applyFont="1"/>
    <xf borderId="27" fillId="0" fontId="15" numFmtId="0" xfId="0" applyBorder="1" applyFont="1"/>
    <xf borderId="34" fillId="4" fontId="15" numFmtId="0" xfId="0" applyAlignment="1" applyBorder="1" applyFont="1">
      <alignment vertical="bottom"/>
    </xf>
    <xf borderId="19" fillId="0" fontId="15" numFmtId="0" xfId="0" applyBorder="1" applyFont="1"/>
    <xf borderId="35" fillId="0" fontId="15" numFmtId="0" xfId="0" applyAlignment="1" applyBorder="1" applyFont="1">
      <alignment vertical="bottom"/>
    </xf>
    <xf borderId="36" fillId="0" fontId="37" numFmtId="0" xfId="0" applyAlignment="1" applyBorder="1" applyFont="1">
      <alignment vertical="bottom"/>
    </xf>
    <xf borderId="36" fillId="0" fontId="37" numFmtId="0" xfId="0" applyAlignment="1" applyBorder="1" applyFont="1">
      <alignment vertical="bottom"/>
    </xf>
    <xf borderId="37" fillId="0" fontId="37" numFmtId="0" xfId="0" applyAlignment="1" applyBorder="1" applyFont="1">
      <alignment vertical="bottom"/>
    </xf>
    <xf borderId="38" fillId="0" fontId="37" numFmtId="0" xfId="0" applyAlignment="1" applyBorder="1" applyFont="1">
      <alignment vertical="bottom"/>
    </xf>
    <xf borderId="0" fillId="0" fontId="13" numFmtId="0" xfId="0" applyAlignment="1" applyFont="1">
      <alignment vertical="bottom"/>
    </xf>
    <xf borderId="0" fillId="4" fontId="13" numFmtId="0" xfId="0" applyAlignment="1" applyFont="1">
      <alignment vertical="bottom"/>
    </xf>
    <xf borderId="39" fillId="0" fontId="13" numFmtId="0" xfId="0" applyAlignment="1" applyBorder="1" applyFont="1">
      <alignment vertical="bottom"/>
    </xf>
    <xf borderId="0" fillId="0" fontId="37" numFmtId="0" xfId="0" applyAlignment="1" applyFont="1">
      <alignment vertical="bottom"/>
    </xf>
    <xf borderId="39" fillId="0" fontId="37" numFmtId="0" xfId="0" applyAlignment="1" applyBorder="1" applyFont="1">
      <alignment vertical="bottom"/>
    </xf>
    <xf borderId="38" fillId="0" fontId="15" numFmtId="0" xfId="0" applyAlignment="1" applyBorder="1" applyFont="1">
      <alignment vertical="bottom"/>
    </xf>
    <xf borderId="0" fillId="0" fontId="37" numFmtId="0" xfId="0" applyAlignment="1" applyFont="1">
      <alignment vertical="bottom"/>
    </xf>
    <xf borderId="40" fillId="0" fontId="37" numFmtId="0" xfId="0" applyAlignment="1" applyBorder="1" applyFont="1">
      <alignment vertical="bottom"/>
    </xf>
    <xf borderId="41" fillId="0" fontId="13" numFmtId="0" xfId="0" applyAlignment="1" applyBorder="1" applyFont="1">
      <alignment vertical="bottom"/>
    </xf>
    <xf borderId="41" fillId="0" fontId="13" numFmtId="0" xfId="0" applyAlignment="1" applyBorder="1" applyFont="1">
      <alignment vertical="bottom"/>
    </xf>
    <xf borderId="41" fillId="4" fontId="13" numFmtId="0" xfId="0" applyAlignment="1" applyBorder="1" applyFont="1">
      <alignment vertical="bottom"/>
    </xf>
    <xf borderId="41" fillId="0" fontId="37" numFmtId="0" xfId="0" applyAlignment="1" applyBorder="1" applyFont="1">
      <alignment vertical="bottom"/>
    </xf>
    <xf borderId="42" fillId="0" fontId="37" numFmtId="0" xfId="0" applyAlignment="1" applyBorder="1" applyFont="1">
      <alignment vertical="bottom"/>
    </xf>
    <xf borderId="29" fillId="0" fontId="15" numFmtId="0" xfId="0" applyAlignment="1" applyBorder="1" applyFont="1">
      <alignment readingOrder="0"/>
    </xf>
    <xf borderId="20" fillId="0" fontId="15" numFmtId="0" xfId="0" applyAlignment="1" applyBorder="1" applyFont="1">
      <alignment shrinkToFit="0" vertical="bottom" wrapText="0"/>
    </xf>
    <xf borderId="15" fillId="0" fontId="15" numFmtId="0" xfId="0" applyAlignment="1" applyBorder="1" applyFont="1">
      <alignment shrinkToFit="0" vertical="bottom" wrapText="0"/>
    </xf>
    <xf borderId="20" fillId="0" fontId="38" numFmtId="0" xfId="0" applyAlignment="1" applyBorder="1" applyFont="1">
      <alignment readingOrder="0"/>
    </xf>
    <xf borderId="43" fillId="6" fontId="10" numFmtId="0" xfId="0" applyAlignment="1" applyBorder="1" applyFont="1">
      <alignment readingOrder="0"/>
    </xf>
    <xf borderId="44" fillId="6" fontId="10" numFmtId="0" xfId="0" applyBorder="1" applyFont="1"/>
    <xf borderId="44" fillId="6" fontId="15" numFmtId="0" xfId="0" applyBorder="1" applyFont="1"/>
    <xf borderId="45" fillId="6" fontId="39" numFmtId="0" xfId="0" applyAlignment="1" applyBorder="1" applyFont="1">
      <alignment readingOrder="0"/>
    </xf>
    <xf borderId="46" fillId="6" fontId="15" numFmtId="0" xfId="0" applyAlignment="1" applyBorder="1" applyFont="1">
      <alignment shrinkToFit="0" vertical="bottom" wrapText="0"/>
    </xf>
    <xf borderId="46" fillId="6" fontId="15" numFmtId="0" xfId="0" applyBorder="1" applyFont="1"/>
    <xf borderId="47" fillId="6" fontId="40" numFmtId="0" xfId="0" applyAlignment="1" applyBorder="1" applyFont="1">
      <alignment readingOrder="0"/>
    </xf>
    <xf borderId="48" fillId="6" fontId="15" numFmtId="0" xfId="0" applyAlignment="1" applyBorder="1" applyFont="1">
      <alignment shrinkToFit="0" vertical="bottom" wrapText="0"/>
    </xf>
    <xf borderId="48" fillId="6" fontId="15" numFmtId="0" xfId="0" applyBorder="1" applyFont="1"/>
    <xf borderId="47" fillId="6" fontId="41" numFmtId="0" xfId="0" applyAlignment="1" applyBorder="1" applyFont="1">
      <alignment readingOrder="0"/>
    </xf>
    <xf borderId="15" fillId="0" fontId="15" numFmtId="0" xfId="0" applyBorder="1" applyFont="1"/>
    <xf borderId="18" fillId="0" fontId="15" numFmtId="0" xfId="0" applyAlignment="1" applyBorder="1" applyFont="1">
      <alignment readingOrder="0" vertical="top"/>
    </xf>
    <xf borderId="49" fillId="0" fontId="38" numFmtId="0" xfId="0" applyAlignment="1" applyBorder="1" applyFont="1">
      <alignment readingOrder="0"/>
    </xf>
    <xf borderId="50" fillId="6" fontId="10" numFmtId="0" xfId="0" applyAlignment="1" applyBorder="1" applyFont="1">
      <alignment readingOrder="0"/>
    </xf>
    <xf borderId="51" fillId="0" fontId="15" numFmtId="0" xfId="0" applyBorder="1" applyFont="1"/>
    <xf borderId="52" fillId="6" fontId="39" numFmtId="0" xfId="0" applyAlignment="1" applyBorder="1" applyFont="1">
      <alignment readingOrder="0"/>
    </xf>
    <xf borderId="46" fillId="6" fontId="15" numFmtId="0" xfId="0" applyAlignment="1" applyBorder="1" applyFont="1">
      <alignment vertical="bottom"/>
    </xf>
    <xf borderId="53" fillId="6" fontId="40" numFmtId="0" xfId="0" applyAlignment="1" applyBorder="1" applyFont="1">
      <alignment readingOrder="0"/>
    </xf>
    <xf borderId="48" fillId="6" fontId="15" numFmtId="0" xfId="0" applyAlignment="1" applyBorder="1" applyFont="1">
      <alignment vertical="bottom"/>
    </xf>
    <xf borderId="53" fillId="6" fontId="42" numFmtId="0" xfId="0" applyAlignment="1" applyBorder="1" applyFont="1">
      <alignment readingOrder="0"/>
    </xf>
    <xf borderId="48" fillId="6" fontId="15" numFmtId="0" xfId="0" applyAlignment="1" applyBorder="1" applyFont="1">
      <alignment readingOrder="0" vertical="bottom"/>
    </xf>
    <xf borderId="54" fillId="0" fontId="15" numFmtId="0" xfId="0" applyBorder="1" applyFont="1"/>
    <xf borderId="55" fillId="6" fontId="41" numFmtId="0" xfId="0" applyAlignment="1" applyBorder="1" applyFont="1">
      <alignment readingOrder="0"/>
    </xf>
    <xf borderId="56" fillId="0" fontId="15" numFmtId="0" xfId="0" applyBorder="1" applyFont="1"/>
    <xf borderId="57" fillId="0" fontId="15" numFmtId="0" xfId="0" applyBorder="1" applyFont="1"/>
    <xf borderId="11" fillId="8" fontId="15" numFmtId="0" xfId="0" applyAlignment="1" applyBorder="1" applyFont="1">
      <alignment readingOrder="0"/>
    </xf>
    <xf borderId="58" fillId="9" fontId="32" numFmtId="0" xfId="0" applyAlignment="1" applyBorder="1" applyFont="1">
      <alignment readingOrder="0"/>
    </xf>
    <xf borderId="59" fillId="9" fontId="32" numFmtId="0" xfId="0" applyBorder="1" applyFont="1"/>
    <xf borderId="60" fillId="9" fontId="32" numFmtId="0" xfId="0" applyAlignment="1" applyBorder="1" applyFont="1">
      <alignment readingOrder="0" shrinkToFit="0" wrapText="1"/>
    </xf>
    <xf borderId="61" fillId="8" fontId="15" numFmtId="0" xfId="0" applyAlignment="1" applyBorder="1" applyFont="1">
      <alignment readingOrder="0" vertical="center"/>
    </xf>
    <xf borderId="62" fillId="8" fontId="15" numFmtId="0" xfId="0" applyAlignment="1" applyBorder="1" applyFont="1">
      <alignment readingOrder="0" shrinkToFit="0" vertical="center" wrapText="1"/>
    </xf>
    <xf borderId="61" fillId="6" fontId="15" numFmtId="0" xfId="0" applyAlignment="1" applyBorder="1" applyFont="1">
      <alignment readingOrder="0" vertical="center"/>
    </xf>
    <xf borderId="62" fillId="6" fontId="15" numFmtId="0" xfId="0" applyAlignment="1" applyBorder="1" applyFont="1">
      <alignment readingOrder="0" shrinkToFit="0" vertical="center" wrapText="1"/>
    </xf>
    <xf borderId="11" fillId="8" fontId="43" numFmtId="0" xfId="0" applyAlignment="1" applyBorder="1" applyFont="1">
      <alignment readingOrder="0"/>
    </xf>
    <xf borderId="63" fillId="8" fontId="15" numFmtId="0" xfId="0" applyAlignment="1" applyBorder="1" applyFont="1">
      <alignment readingOrder="0" vertical="center"/>
    </xf>
    <xf borderId="64" fillId="8" fontId="15" numFmtId="0" xfId="0" applyAlignment="1" applyBorder="1" applyFont="1">
      <alignment vertical="center"/>
    </xf>
    <xf borderId="65" fillId="8" fontId="15" numFmtId="0" xfId="0" applyAlignment="1" applyBorder="1" applyFont="1">
      <alignment readingOrder="0" shrinkToFit="0" vertical="center" wrapText="1"/>
    </xf>
    <xf borderId="11" fillId="0" fontId="15" numFmtId="0" xfId="0" applyAlignment="1" applyBorder="1" applyFont="1">
      <alignment readingOrder="0"/>
    </xf>
    <xf borderId="48" fillId="6" fontId="15" numFmtId="0" xfId="0" applyAlignment="1" applyBorder="1" applyFont="1">
      <alignment readingOrder="0"/>
    </xf>
    <xf borderId="0" fillId="0" fontId="15" numFmtId="0" xfId="0" applyFont="1"/>
    <xf borderId="1" fillId="6" fontId="15" numFmtId="0" xfId="0" applyAlignment="1" applyBorder="1" applyFont="1">
      <alignment readingOrder="0"/>
    </xf>
    <xf borderId="1" fillId="6" fontId="15" numFmtId="0" xfId="0" applyBorder="1" applyFont="1"/>
    <xf borderId="1" fillId="0" fontId="38" numFmtId="0" xfId="0" applyAlignment="1" applyBorder="1" applyFont="1">
      <alignment readingOrder="0"/>
    </xf>
    <xf borderId="1" fillId="0" fontId="44" numFmtId="0" xfId="0" applyBorder="1" applyFont="1"/>
    <xf borderId="1" fillId="8" fontId="19" numFmtId="0" xfId="0" applyAlignment="1" applyBorder="1" applyFont="1">
      <alignment horizontal="left" readingOrder="0" vertical="center"/>
    </xf>
    <xf borderId="1" fillId="0" fontId="2" numFmtId="0" xfId="0" applyAlignment="1" applyBorder="1" applyFont="1">
      <alignment readingOrder="0"/>
    </xf>
    <xf borderId="2" fillId="0" fontId="2" numFmtId="0" xfId="0" applyBorder="1" applyFont="1"/>
    <xf borderId="11" fillId="8" fontId="2" numFmtId="0" xfId="0" applyAlignment="1" applyBorder="1" applyFont="1">
      <alignment readingOrder="0"/>
    </xf>
    <xf borderId="58" fillId="9" fontId="32" numFmtId="0" xfId="0" applyAlignment="1" applyBorder="1" applyFont="1">
      <alignment shrinkToFit="0" wrapText="1"/>
    </xf>
    <xf borderId="66" fillId="9" fontId="32" numFmtId="0" xfId="0" applyAlignment="1" applyBorder="1" applyFont="1">
      <alignment shrinkToFit="0" wrapText="1"/>
    </xf>
    <xf borderId="67" fillId="9" fontId="32" numFmtId="0" xfId="0" applyAlignment="1" applyBorder="1" applyFont="1">
      <alignment shrinkToFit="0" wrapText="1"/>
    </xf>
    <xf borderId="68" fillId="9" fontId="32" numFmtId="0" xfId="0" applyAlignment="1" applyBorder="1" applyFont="1">
      <alignment shrinkToFit="0" wrapText="1"/>
    </xf>
    <xf borderId="11" fillId="8" fontId="2" numFmtId="0" xfId="0" applyBorder="1" applyFont="1"/>
    <xf borderId="61" fillId="8" fontId="2" numFmtId="0" xfId="0" applyBorder="1" applyFont="1"/>
    <xf borderId="0" fillId="8" fontId="2" numFmtId="0" xfId="0" applyAlignment="1" applyFont="1">
      <alignment readingOrder="0" vertical="center"/>
    </xf>
    <xf borderId="0" fillId="8" fontId="2" numFmtId="0" xfId="0" applyAlignment="1" applyFont="1">
      <alignment readingOrder="0" shrinkToFit="0" vertical="center" wrapText="1"/>
    </xf>
    <xf borderId="0" fillId="8" fontId="2" numFmtId="0" xfId="0" applyAlignment="1" applyFont="1">
      <alignment horizontal="center" readingOrder="0" vertical="center"/>
    </xf>
    <xf borderId="69" fillId="11" fontId="2" numFmtId="0" xfId="0" applyAlignment="1" applyBorder="1" applyFill="1" applyFont="1">
      <alignment horizontal="center" readingOrder="0" vertical="center"/>
    </xf>
    <xf borderId="61" fillId="6" fontId="2" numFmtId="0" xfId="0" applyBorder="1" applyFont="1"/>
    <xf borderId="0" fillId="6" fontId="2" numFmtId="0" xfId="0" applyAlignment="1" applyFont="1">
      <alignment readingOrder="0" vertical="center"/>
    </xf>
    <xf borderId="0" fillId="6" fontId="2" numFmtId="0" xfId="0" applyAlignment="1" applyFont="1">
      <alignment readingOrder="0" shrinkToFit="0" vertical="center" wrapText="1"/>
    </xf>
    <xf borderId="0" fillId="12" fontId="2" numFmtId="0" xfId="0" applyAlignment="1" applyFill="1" applyFont="1">
      <alignment horizontal="center" readingOrder="0" vertical="center"/>
    </xf>
    <xf borderId="0" fillId="6" fontId="2" numFmtId="0" xfId="0" applyAlignment="1" applyFont="1">
      <alignment horizontal="center" readingOrder="0" vertical="center"/>
    </xf>
    <xf borderId="69" fillId="6" fontId="2" numFmtId="0" xfId="0" applyAlignment="1" applyBorder="1" applyFont="1">
      <alignment horizontal="center" readingOrder="0" vertical="center"/>
    </xf>
    <xf borderId="69" fillId="8" fontId="2" numFmtId="0" xfId="0" applyAlignment="1" applyBorder="1" applyFont="1">
      <alignment horizontal="center" readingOrder="0" vertical="center"/>
    </xf>
    <xf borderId="0" fillId="11" fontId="2" numFmtId="0" xfId="0" applyAlignment="1" applyFont="1">
      <alignment horizontal="center" shrinkToFit="0" vertical="center" wrapText="1"/>
    </xf>
    <xf borderId="63" fillId="8" fontId="2" numFmtId="0" xfId="0" applyBorder="1" applyFont="1"/>
    <xf borderId="64" fillId="8" fontId="2" numFmtId="0" xfId="0" applyAlignment="1" applyBorder="1" applyFont="1">
      <alignment readingOrder="0" vertical="center"/>
    </xf>
    <xf borderId="64" fillId="8" fontId="2" numFmtId="0" xfId="0" applyAlignment="1" applyBorder="1" applyFont="1">
      <alignment horizontal="center" readingOrder="0" vertical="center"/>
    </xf>
    <xf borderId="70" fillId="11" fontId="2" numFmtId="0" xfId="0" applyAlignment="1" applyBorder="1" applyFont="1">
      <alignment horizontal="center" readingOrder="0" vertical="center"/>
    </xf>
    <xf borderId="57" fillId="0" fontId="2" numFmtId="0" xfId="0" applyBorder="1" applyFont="1"/>
    <xf borderId="57" fillId="0" fontId="2" numFmtId="0" xfId="0" applyAlignment="1" applyBorder="1" applyFont="1">
      <alignment vertical="center"/>
    </xf>
    <xf borderId="66" fillId="9" fontId="32" numFmtId="0" xfId="0" applyAlignment="1" applyBorder="1" applyFont="1">
      <alignment shrinkToFit="0" vertical="center" wrapText="1"/>
    </xf>
    <xf borderId="68" fillId="9" fontId="32" numFmtId="0" xfId="0" applyAlignment="1" applyBorder="1" applyFont="1">
      <alignment shrinkToFit="0" vertical="center" wrapText="1"/>
    </xf>
    <xf borderId="11" fillId="0" fontId="2" numFmtId="0" xfId="0" applyBorder="1" applyFont="1"/>
    <xf borderId="61" fillId="0" fontId="2" numFmtId="0" xfId="0" applyBorder="1" applyFont="1"/>
    <xf borderId="0" fillId="0" fontId="2" numFmtId="0" xfId="0" applyAlignment="1" applyFont="1">
      <alignment readingOrder="0" vertical="center"/>
    </xf>
    <xf borderId="0" fillId="0" fontId="2" numFmtId="0" xfId="0" applyAlignment="1" applyFont="1">
      <alignment horizontal="center" readingOrder="0" vertical="center"/>
    </xf>
    <xf borderId="69" fillId="0" fontId="2" numFmtId="0" xfId="0" applyAlignment="1" applyBorder="1" applyFont="1">
      <alignment horizontal="center" readingOrder="0" vertical="center"/>
    </xf>
    <xf borderId="63" fillId="0" fontId="2" numFmtId="0" xfId="0" applyBorder="1" applyFont="1"/>
    <xf borderId="64" fillId="0" fontId="2" numFmtId="0" xfId="0" applyAlignment="1" applyBorder="1" applyFont="1">
      <alignment readingOrder="0" vertical="center"/>
    </xf>
    <xf borderId="64" fillId="0" fontId="2" numFmtId="0" xfId="0" applyAlignment="1" applyBorder="1" applyFont="1">
      <alignment readingOrder="0" shrinkToFit="0" vertical="center" wrapText="1"/>
    </xf>
    <xf borderId="64" fillId="0" fontId="2" numFmtId="0" xfId="0" applyAlignment="1" applyBorder="1" applyFont="1">
      <alignment horizontal="center" readingOrder="0" vertical="center"/>
    </xf>
    <xf borderId="0" fillId="0" fontId="2" numFmtId="0" xfId="0" applyAlignment="1" applyFont="1">
      <alignment vertical="center"/>
    </xf>
    <xf borderId="71" fillId="9" fontId="32" numFmtId="0" xfId="0" applyAlignment="1" applyBorder="1" applyFont="1">
      <alignment shrinkToFit="0" wrapText="1"/>
    </xf>
    <xf borderId="72" fillId="9" fontId="32" numFmtId="0" xfId="0" applyAlignment="1" applyBorder="1" applyFont="1">
      <alignment shrinkToFit="0" vertical="center" wrapText="1"/>
    </xf>
    <xf borderId="73" fillId="9" fontId="32" numFmtId="0" xfId="0" applyAlignment="1" applyBorder="1" applyFont="1">
      <alignment shrinkToFit="0" vertical="center" wrapText="1"/>
    </xf>
    <xf borderId="74" fillId="0" fontId="2" numFmtId="0" xfId="0" applyBorder="1" applyFont="1"/>
    <xf borderId="75" fillId="0" fontId="2" numFmtId="0" xfId="0" applyAlignment="1" applyBorder="1" applyFont="1">
      <alignment readingOrder="0" vertical="center"/>
    </xf>
    <xf borderId="75" fillId="0" fontId="2" numFmtId="0" xfId="0" applyAlignment="1" applyBorder="1" applyFont="1">
      <alignment horizontal="center" readingOrder="0" vertical="center"/>
    </xf>
    <xf borderId="76" fillId="11" fontId="2" numFmtId="0" xfId="0" applyAlignment="1" applyBorder="1" applyFont="1">
      <alignment horizontal="center" readingOrder="0" vertical="center"/>
    </xf>
    <xf borderId="77" fillId="11" fontId="2" numFmtId="0" xfId="0" applyAlignment="1" applyBorder="1" applyFont="1">
      <alignment horizontal="center" readingOrder="0" vertical="center"/>
    </xf>
    <xf borderId="59" fillId="9" fontId="32" numFmtId="0" xfId="0" applyAlignment="1" applyBorder="1" applyFont="1">
      <alignment shrinkToFit="0" vertical="center" wrapText="1"/>
    </xf>
  </cellXfs>
  <cellStyles count="1">
    <cellStyle xfId="0" name="Normal" builtinId="0"/>
  </cellStyles>
  <dxfs count="9">
    <dxf>
      <font/>
      <fill>
        <patternFill patternType="solid">
          <fgColor rgb="FFFF0000"/>
          <bgColor rgb="FFFF0000"/>
        </patternFill>
      </fill>
      <border/>
    </dxf>
    <dxf>
      <font>
        <color rgb="FFFFFFFF"/>
      </font>
      <fill>
        <patternFill patternType="solid">
          <fgColor rgb="FF4A86E8"/>
          <bgColor rgb="FF4A86E8"/>
        </patternFill>
      </fill>
      <border/>
    </dxf>
    <dxf>
      <font/>
      <fill>
        <patternFill patternType="solid">
          <fgColor rgb="FFB7E1CD"/>
          <bgColor rgb="FFB7E1CD"/>
        </patternFill>
      </fill>
      <border/>
    </dxf>
    <dxf>
      <font/>
      <fill>
        <patternFill patternType="none"/>
      </fill>
      <border/>
    </dxf>
    <dxf>
      <font/>
      <fill>
        <patternFill patternType="solid">
          <fgColor rgb="FFFFFFFF"/>
          <bgColor rgb="FFFFFFFF"/>
        </patternFill>
      </fill>
      <border/>
    </dxf>
    <dxf>
      <font/>
      <fill>
        <patternFill patternType="solid">
          <fgColor rgb="FFF3F3F3"/>
          <bgColor rgb="FFF3F3F3"/>
        </patternFill>
      </fill>
      <border/>
    </dxf>
    <dxf>
      <font/>
      <fill>
        <patternFill patternType="solid">
          <fgColor rgb="FFE2F5EC"/>
          <bgColor rgb="FFE2F5EC"/>
        </patternFill>
      </fill>
      <border/>
    </dxf>
    <dxf>
      <font/>
      <fill>
        <patternFill patternType="solid">
          <fgColor rgb="FFFFF2CC"/>
          <bgColor rgb="FFFFF2CC"/>
        </patternFill>
      </fill>
      <border/>
    </dxf>
    <dxf>
      <font/>
      <fill>
        <patternFill patternType="solid">
          <fgColor rgb="FFBDBDBD"/>
          <bgColor rgb="FFBDBDBD"/>
        </patternFill>
      </fill>
      <border/>
    </dxf>
  </dxfs>
  <tableStyles count="7">
    <tableStyle count="2" pivot="0" name="survey-style">
      <tableStyleElement dxfId="4" type="firstRowStripe"/>
      <tableStyleElement dxfId="5" type="secondRowStripe"/>
    </tableStyle>
    <tableStyle count="2" pivot="0" name="choices-style">
      <tableStyleElement dxfId="4" type="firstRowStripe"/>
      <tableStyleElement dxfId="5" type="secondRowStripe"/>
    </tableStyle>
    <tableStyle count="3" pivot="0" name="🔀 Relevance-style">
      <tableStyleElement dxfId="8" type="headerRow"/>
      <tableStyleElement dxfId="4" type="firstRowStripe"/>
      <tableStyleElement dxfId="5" type="secondRowStripe"/>
    </tableStyle>
    <tableStyle count="3" pivot="0" name="🔒 Constraints-style">
      <tableStyleElement dxfId="8" type="headerRow"/>
      <tableStyleElement dxfId="4" type="firstRowStripe"/>
      <tableStyleElement dxfId="5" type="secondRowStripe"/>
    </tableStyle>
    <tableStyle count="3" pivot="0" name="✅ Additional columns-style">
      <tableStyleElement dxfId="8" type="headerRow"/>
      <tableStyleElement dxfId="4" type="firstRowStripe"/>
      <tableStyleElement dxfId="5" type="secondRowStripe"/>
    </tableStyle>
    <tableStyle count="3" pivot="0" name="✅ Additional columns-style 2">
      <tableStyleElement dxfId="8" type="headerRow"/>
      <tableStyleElement dxfId="4" type="firstRowStripe"/>
      <tableStyleElement dxfId="5" type="secondRowStripe"/>
    </tableStyle>
    <tableStyle count="3" pivot="0" name="✅ Additional columns-style 3">
      <tableStyleElement dxfId="8" type="headerRow"/>
      <tableStyleElement dxfId="4" type="firstRowStripe"/>
      <tableStyleElement dxfId="5" type="secondRowStripe"/>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0</xdr:row>
      <xdr:rowOff>0</xdr:rowOff>
    </xdr:from>
    <xdr:ext cx="638175" cy="352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ables/table1.xml><?xml version="1.0" encoding="utf-8"?>
<table xmlns="http://schemas.openxmlformats.org/spreadsheetml/2006/main" headerRowCount="0" ref="A2:AI615" displayName="Table_1" name="Table_1" id="1">
  <tableColumns count="35">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 name="Column25" id="25"/>
    <tableColumn name="Column26" id="26"/>
    <tableColumn name="Column27" id="27"/>
    <tableColumn name="Column28" id="28"/>
    <tableColumn name="Column29" id="29"/>
    <tableColumn name="Column30" id="30"/>
    <tableColumn name="Column31" id="31"/>
    <tableColumn name="Column32" id="32"/>
    <tableColumn name="Column33" id="33"/>
    <tableColumn name="Column34" id="34"/>
    <tableColumn name="Column35" id="35"/>
  </tableColumns>
  <tableStyleInfo name="survey-style" showColumnStripes="0" showFirstColumn="1" showLastColumn="1" showRowStripes="1"/>
</table>
</file>

<file path=xl/tables/table2.xml><?xml version="1.0" encoding="utf-8"?>
<table xmlns="http://schemas.openxmlformats.org/spreadsheetml/2006/main" headerRowCount="0" ref="A2:AC829" displayName="Table_2" name="Table_2" id="2">
  <tableColumns count="29">
    <tableColumn name="Column1" id="1"/>
    <tableColumn name="Column2" id="2"/>
    <tableColumn name="Column3" id="3"/>
    <tableColumn name="Column4" id="4"/>
    <tableColumn name="Column5" id="5"/>
    <tableColumn name="Column6" id="6"/>
    <tableColumn name="Column7" id="7"/>
    <tableColumn name="Column8" id="8"/>
    <tableColumn name="Column9" id="9"/>
    <tableColumn name="Column10" id="10"/>
    <tableColumn name="Column11" id="11"/>
    <tableColumn name="Column12" id="12"/>
    <tableColumn name="Column13" id="13"/>
    <tableColumn name="Column14" id="14"/>
    <tableColumn name="Column15" id="15"/>
    <tableColumn name="Column16" id="16"/>
    <tableColumn name="Column17" id="17"/>
    <tableColumn name="Column18" id="18"/>
    <tableColumn name="Column19" id="19"/>
    <tableColumn name="Column20" id="20"/>
    <tableColumn name="Column21" id="21"/>
    <tableColumn name="Column22" id="22"/>
    <tableColumn name="Column23" id="23"/>
    <tableColumn name="Column24" id="24"/>
    <tableColumn name="Column25" id="25"/>
    <tableColumn name="Column26" id="26"/>
    <tableColumn name="Column27" id="27"/>
    <tableColumn name="Column28" id="28"/>
    <tableColumn name="Column29" id="29"/>
  </tableColumns>
  <tableStyleInfo name="choices-style" showColumnStripes="0" showFirstColumn="1" showLastColumn="1" showRowStripes="1"/>
</table>
</file>

<file path=xl/tables/table3.xml><?xml version="1.0" encoding="utf-8"?>
<table xmlns="http://schemas.openxmlformats.org/spreadsheetml/2006/main" headerRowCount="0" ref="A8:C18" displayName="Table_3" name="Table_3" id="3">
  <tableColumns count="3">
    <tableColumn name="Column1" id="1"/>
    <tableColumn name="Column2" id="2"/>
    <tableColumn name="Column3" id="3"/>
  </tableColumns>
  <tableStyleInfo name="🔀 Relevance-style" showColumnStripes="0" showFirstColumn="1" showLastColumn="1" showRowStripes="1"/>
  <extLst>
    <ext uri="GoogleSheetsCustomDataVersion1">
      <go:sheetsCustomData xmlns:go="http://customooxmlschemas.google.com/" headerRowCount="1"/>
    </ext>
  </extLst>
</table>
</file>

<file path=xl/tables/table4.xml><?xml version="1.0" encoding="utf-8"?>
<table xmlns="http://schemas.openxmlformats.org/spreadsheetml/2006/main" headerRowCount="0" ref="A7:C21" displayName="Table_4" name="Table_4" id="4">
  <tableColumns count="3">
    <tableColumn name="Column1" id="1"/>
    <tableColumn name="Column2" id="2"/>
    <tableColumn name="Column3" id="3"/>
  </tableColumns>
  <tableStyleInfo name="🔒 Constraints-style" showColumnStripes="0" showFirstColumn="1" showLastColumn="1" showRowStripes="1"/>
  <extLst>
    <ext uri="GoogleSheetsCustomDataVersion1">
      <go:sheetsCustomData xmlns:go="http://customooxmlschemas.google.com/" headerRowCount="1"/>
    </ext>
  </extLst>
</table>
</file>

<file path=xl/tables/table5.xml><?xml version="1.0" encoding="utf-8"?>
<table xmlns="http://schemas.openxmlformats.org/spreadsheetml/2006/main" headerRowCount="0" ref="A14:G18" displayName="Table_5" name="Table_5" id="5">
  <tableColumns count="7">
    <tableColumn name="Column1" id="1"/>
    <tableColumn name="Column2" id="2"/>
    <tableColumn name="Column3" id="3"/>
    <tableColumn name="Column4" id="4"/>
    <tableColumn name="Column5" id="5"/>
    <tableColumn name="Column6" id="6"/>
    <tableColumn name="Column7" id="7"/>
  </tableColumns>
  <tableStyleInfo name="✅ Additional columns-style" showColumnStripes="0" showFirstColumn="1" showLastColumn="1" showRowStripes="1"/>
  <extLst>
    <ext uri="GoogleSheetsCustomDataVersion1">
      <go:sheetsCustomData xmlns:go="http://customooxmlschemas.google.com/" headerRowCount="1"/>
    </ext>
  </extLst>
</table>
</file>

<file path=xl/tables/table6.xml><?xml version="1.0" encoding="utf-8"?>
<table xmlns="http://schemas.openxmlformats.org/spreadsheetml/2006/main" headerRowCount="0" ref="A20:G23" displayName="Table_6" name="Table_6" id="6">
  <tableColumns count="7">
    <tableColumn name="Column1" id="1"/>
    <tableColumn name="Column2" id="2"/>
    <tableColumn name="Column3" id="3"/>
    <tableColumn name="Column4" id="4"/>
    <tableColumn name="Column5" id="5"/>
    <tableColumn name="Column6" id="6"/>
    <tableColumn name="Column7" id="7"/>
  </tableColumns>
  <tableStyleInfo name="✅ Additional columns-style 2" showColumnStripes="0" showFirstColumn="1" showLastColumn="1" showRowStripes="1"/>
  <extLst>
    <ext uri="GoogleSheetsCustomDataVersion1">
      <go:sheetsCustomData xmlns:go="http://customooxmlschemas.google.com/" headerRowCount="1"/>
    </ext>
  </extLst>
</table>
</file>

<file path=xl/tables/table7.xml><?xml version="1.0" encoding="utf-8"?>
<table xmlns="http://schemas.openxmlformats.org/spreadsheetml/2006/main" headerRowCount="0" ref="A25:G26" displayName="Table_7" name="Table_7" id="7">
  <tableColumns count="7">
    <tableColumn name="Column1" id="1"/>
    <tableColumn name="Column2" id="2"/>
    <tableColumn name="Column3" id="3"/>
    <tableColumn name="Column4" id="4"/>
    <tableColumn name="Column5" id="5"/>
    <tableColumn name="Column6" id="6"/>
    <tableColumn name="Column7" id="7"/>
  </tableColumns>
  <tableStyleInfo name="✅ Additional columns-style 3" showColumnStripes="0" showFirstColumn="1" showLastColumn="1" showRowStripes="1"/>
  <extLst>
    <ext uri="GoogleSheetsCustomDataVersion1">
      <go:sheetsCustomData xmlns:go="http://customooxmlschemas.google.com/" headerRowCount="1"/>
    </ext>
  </extLst>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hyperlink" Target="https://docs.getodk.org/form-operators-functions/" TargetMode="External"/><Relationship Id="rId2" Type="http://schemas.openxmlformats.org/officeDocument/2006/relationships/drawing" Target="../drawings/drawing10.xml"/><Relationship Id="rId4" Type="http://schemas.openxmlformats.org/officeDocument/2006/relationships/table" Target="../tables/table3.xml"/></Relationships>
</file>

<file path=xl/worksheets/_rels/sheet11.xml.rels><?xml version="1.0" encoding="UTF-8" standalone="yes"?><Relationships xmlns="http://schemas.openxmlformats.org/package/2006/relationships"><Relationship Id="rId1" Type="http://schemas.openxmlformats.org/officeDocument/2006/relationships/hyperlink" Target="https://docs.getodk.org/form-operators-functions/" TargetMode="External"/><Relationship Id="rId2" Type="http://schemas.openxmlformats.org/officeDocument/2006/relationships/hyperlink" Target="https://www.oreilly.com/library/view/regular-expressions-cookbook/9781449327453/ch04s01.html" TargetMode="External"/><Relationship Id="rId3" Type="http://schemas.openxmlformats.org/officeDocument/2006/relationships/drawing" Target="../drawings/drawing11.xml"/><Relationship Id="rId5" Type="http://schemas.openxmlformats.org/officeDocument/2006/relationships/table" Target="../tables/table4.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iana.org/assignments/language-subtag-registry/language-subtag-registry" TargetMode="External"/><Relationship Id="rId2"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 Id="rId5"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 Id="rId5"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5.xml"/><Relationship Id="rId3"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90" Type="http://schemas.openxmlformats.org/officeDocument/2006/relationships/hyperlink" Target="https://en.wikipedia.org/wiki/Cashew" TargetMode="External"/><Relationship Id="rId194" Type="http://schemas.openxmlformats.org/officeDocument/2006/relationships/hyperlink" Target="https://en.wikipedia.org/wiki/Cashew" TargetMode="External"/><Relationship Id="rId193" Type="http://schemas.openxmlformats.org/officeDocument/2006/relationships/hyperlink" Target="https://en.wikipedia.org/wiki/Cashew" TargetMode="External"/><Relationship Id="rId192" Type="http://schemas.openxmlformats.org/officeDocument/2006/relationships/hyperlink" Target="https://en.wikipedia.org/wiki/Cashew" TargetMode="External"/><Relationship Id="rId191" Type="http://schemas.openxmlformats.org/officeDocument/2006/relationships/hyperlink" Target="https://en.wikipedia.org/wiki/Cashew" TargetMode="External"/><Relationship Id="rId187" Type="http://schemas.openxmlformats.org/officeDocument/2006/relationships/hyperlink" Target="https://en.wikipedia.org/wiki/Cashew" TargetMode="External"/><Relationship Id="rId186" Type="http://schemas.openxmlformats.org/officeDocument/2006/relationships/hyperlink" Target="https://en.wikipedia.org/wiki/Cashew" TargetMode="External"/><Relationship Id="rId185" Type="http://schemas.openxmlformats.org/officeDocument/2006/relationships/hyperlink" Target="https://en.wikipedia.org/wiki/Cashew" TargetMode="External"/><Relationship Id="rId184" Type="http://schemas.openxmlformats.org/officeDocument/2006/relationships/hyperlink" Target="https://en.wikipedia.org/wiki/Cashew" TargetMode="External"/><Relationship Id="rId189" Type="http://schemas.openxmlformats.org/officeDocument/2006/relationships/hyperlink" Target="https://en.wikipedia.org/wiki/Cashew" TargetMode="External"/><Relationship Id="rId188" Type="http://schemas.openxmlformats.org/officeDocument/2006/relationships/hyperlink" Target="https://en.wikipedia.org/wiki/Cashew" TargetMode="External"/><Relationship Id="rId183" Type="http://schemas.openxmlformats.org/officeDocument/2006/relationships/hyperlink" Target="https://en.wikipedia.org/wiki/Cashew" TargetMode="External"/><Relationship Id="rId182" Type="http://schemas.openxmlformats.org/officeDocument/2006/relationships/hyperlink" Target="https://en.wikipedia.org/wiki/Cashew" TargetMode="External"/><Relationship Id="rId181" Type="http://schemas.openxmlformats.org/officeDocument/2006/relationships/hyperlink" Target="https://en.wikipedia.org/wiki/Cashew" TargetMode="External"/><Relationship Id="rId180" Type="http://schemas.openxmlformats.org/officeDocument/2006/relationships/hyperlink" Target="https://en.wikipedia.org/wiki/Cashew" TargetMode="External"/><Relationship Id="rId176" Type="http://schemas.openxmlformats.org/officeDocument/2006/relationships/hyperlink" Target="https://en.wikipedia.org/wiki/Cashew" TargetMode="External"/><Relationship Id="rId175" Type="http://schemas.openxmlformats.org/officeDocument/2006/relationships/hyperlink" Target="https://en.wikipedia.org/wiki/Cashew" TargetMode="External"/><Relationship Id="rId174" Type="http://schemas.openxmlformats.org/officeDocument/2006/relationships/hyperlink" Target="https://en.wikipedia.org/wiki/Cashew" TargetMode="External"/><Relationship Id="rId173" Type="http://schemas.openxmlformats.org/officeDocument/2006/relationships/hyperlink" Target="https://en.wikipedia.org/wiki/Cashew" TargetMode="External"/><Relationship Id="rId179" Type="http://schemas.openxmlformats.org/officeDocument/2006/relationships/hyperlink" Target="https://en.wikipedia.org/wiki/Cashew" TargetMode="External"/><Relationship Id="rId178" Type="http://schemas.openxmlformats.org/officeDocument/2006/relationships/hyperlink" Target="https://en.wikipedia.org/wiki/Cashew" TargetMode="External"/><Relationship Id="rId177" Type="http://schemas.openxmlformats.org/officeDocument/2006/relationships/hyperlink" Target="https://en.wikipedia.org/wiki/Cashew" TargetMode="External"/><Relationship Id="rId198" Type="http://schemas.openxmlformats.org/officeDocument/2006/relationships/hyperlink" Target="https://en.wikipedia.org/wiki/Cashew" TargetMode="External"/><Relationship Id="rId197" Type="http://schemas.openxmlformats.org/officeDocument/2006/relationships/hyperlink" Target="https://en.wikipedia.org/wiki/Cashew" TargetMode="External"/><Relationship Id="rId196" Type="http://schemas.openxmlformats.org/officeDocument/2006/relationships/hyperlink" Target="https://en.wikipedia.org/wiki/Cashew" TargetMode="External"/><Relationship Id="rId195" Type="http://schemas.openxmlformats.org/officeDocument/2006/relationships/hyperlink" Target="https://en.wikipedia.org/wiki/Cashew" TargetMode="External"/><Relationship Id="rId199" Type="http://schemas.openxmlformats.org/officeDocument/2006/relationships/hyperlink" Target="https://en.wikipedia.org/wiki/Cashew" TargetMode="External"/><Relationship Id="rId150" Type="http://schemas.openxmlformats.org/officeDocument/2006/relationships/hyperlink" Target="https://en.wikipedia.org/wiki/Cashew" TargetMode="External"/><Relationship Id="rId392" Type="http://schemas.openxmlformats.org/officeDocument/2006/relationships/hyperlink" Target="https://en.wikipedia.org/wiki/Avocado" TargetMode="External"/><Relationship Id="rId391" Type="http://schemas.openxmlformats.org/officeDocument/2006/relationships/hyperlink" Target="https://en.wikipedia.org/wiki/Jackfruit" TargetMode="External"/><Relationship Id="rId390" Type="http://schemas.openxmlformats.org/officeDocument/2006/relationships/hyperlink" Target="https://en.wikipedia.org/wiki/Avocado" TargetMode="External"/><Relationship Id="rId1" Type="http://schemas.openxmlformats.org/officeDocument/2006/relationships/hyperlink" Target="https://en.wikipedia.org/wiki/Cashew" TargetMode="External"/><Relationship Id="rId2" Type="http://schemas.openxmlformats.org/officeDocument/2006/relationships/hyperlink" Target="https://en.wikipedia.org/wiki/Cashew" TargetMode="External"/><Relationship Id="rId3" Type="http://schemas.openxmlformats.org/officeDocument/2006/relationships/hyperlink" Target="https://en.wikipedia.org/wiki/Cashew" TargetMode="External"/><Relationship Id="rId149" Type="http://schemas.openxmlformats.org/officeDocument/2006/relationships/hyperlink" Target="https://en.wikipedia.org/wiki/Cashew" TargetMode="External"/><Relationship Id="rId4" Type="http://schemas.openxmlformats.org/officeDocument/2006/relationships/hyperlink" Target="https://en.wikipedia.org/wiki/Cashew" TargetMode="External"/><Relationship Id="rId148" Type="http://schemas.openxmlformats.org/officeDocument/2006/relationships/hyperlink" Target="https://en.wikipedia.org/wiki/Cashew" TargetMode="External"/><Relationship Id="rId9" Type="http://schemas.openxmlformats.org/officeDocument/2006/relationships/hyperlink" Target="https://en.wikipedia.org/wiki/Cashew" TargetMode="External"/><Relationship Id="rId143" Type="http://schemas.openxmlformats.org/officeDocument/2006/relationships/hyperlink" Target="https://en.wikipedia.org/wiki/Cashew" TargetMode="External"/><Relationship Id="rId385" Type="http://schemas.openxmlformats.org/officeDocument/2006/relationships/hyperlink" Target="https://en.wikipedia.org/wiki/Avocado" TargetMode="External"/><Relationship Id="rId142" Type="http://schemas.openxmlformats.org/officeDocument/2006/relationships/hyperlink" Target="https://en.wikipedia.org/wiki/Cashew" TargetMode="External"/><Relationship Id="rId384" Type="http://schemas.openxmlformats.org/officeDocument/2006/relationships/hyperlink" Target="https://en.wikipedia.org/wiki/Avocado" TargetMode="External"/><Relationship Id="rId141" Type="http://schemas.openxmlformats.org/officeDocument/2006/relationships/hyperlink" Target="https://en.wikipedia.org/wiki/Cashew" TargetMode="External"/><Relationship Id="rId383" Type="http://schemas.openxmlformats.org/officeDocument/2006/relationships/hyperlink" Target="https://en.wikipedia.org/wiki/Avocado" TargetMode="External"/><Relationship Id="rId140" Type="http://schemas.openxmlformats.org/officeDocument/2006/relationships/hyperlink" Target="https://en.wikipedia.org/wiki/Cashew" TargetMode="External"/><Relationship Id="rId382" Type="http://schemas.openxmlformats.org/officeDocument/2006/relationships/hyperlink" Target="https://en.wikipedia.org/wiki/Syzygium_malaccense" TargetMode="External"/><Relationship Id="rId5" Type="http://schemas.openxmlformats.org/officeDocument/2006/relationships/hyperlink" Target="https://en.wikipedia.org/wiki/Cashew" TargetMode="External"/><Relationship Id="rId147" Type="http://schemas.openxmlformats.org/officeDocument/2006/relationships/hyperlink" Target="https://en.wikipedia.org/wiki/Cashew" TargetMode="External"/><Relationship Id="rId389" Type="http://schemas.openxmlformats.org/officeDocument/2006/relationships/hyperlink" Target="https://en.wikipedia.org/wiki/Pouteria_campechiana" TargetMode="External"/><Relationship Id="rId6" Type="http://schemas.openxmlformats.org/officeDocument/2006/relationships/hyperlink" Target="https://en.wikipedia.org/wiki/Cashew" TargetMode="External"/><Relationship Id="rId146" Type="http://schemas.openxmlformats.org/officeDocument/2006/relationships/hyperlink" Target="https://en.wikipedia.org/wiki/Cashew" TargetMode="External"/><Relationship Id="rId388" Type="http://schemas.openxmlformats.org/officeDocument/2006/relationships/hyperlink" Target="https://en.wikipedia.org/wiki/Garcinia_humilis" TargetMode="External"/><Relationship Id="rId7" Type="http://schemas.openxmlformats.org/officeDocument/2006/relationships/hyperlink" Target="https://en.wikipedia.org/wiki/Cashew" TargetMode="External"/><Relationship Id="rId145" Type="http://schemas.openxmlformats.org/officeDocument/2006/relationships/hyperlink" Target="https://en.wikipedia.org/wiki/Cashew" TargetMode="External"/><Relationship Id="rId387" Type="http://schemas.openxmlformats.org/officeDocument/2006/relationships/hyperlink" Target="https://en.wikipedia.org/wiki/Atemoya" TargetMode="External"/><Relationship Id="rId8" Type="http://schemas.openxmlformats.org/officeDocument/2006/relationships/hyperlink" Target="https://en.wikipedia.org/wiki/Cashew" TargetMode="External"/><Relationship Id="rId144" Type="http://schemas.openxmlformats.org/officeDocument/2006/relationships/hyperlink" Target="https://en.wikipedia.org/wiki/Cashew" TargetMode="External"/><Relationship Id="rId386" Type="http://schemas.openxmlformats.org/officeDocument/2006/relationships/hyperlink" Target="https://en.wikipedia.org/wiki/Avocado" TargetMode="External"/><Relationship Id="rId381" Type="http://schemas.openxmlformats.org/officeDocument/2006/relationships/hyperlink" Target="https://en.wikipedia.org/wiki/Avocado" TargetMode="External"/><Relationship Id="rId380" Type="http://schemas.openxmlformats.org/officeDocument/2006/relationships/hyperlink" Target="https://en.wikipedia.org/wiki/Avocado" TargetMode="External"/><Relationship Id="rId139" Type="http://schemas.openxmlformats.org/officeDocument/2006/relationships/hyperlink" Target="https://en.wikipedia.org/wiki/Cashew" TargetMode="External"/><Relationship Id="rId138" Type="http://schemas.openxmlformats.org/officeDocument/2006/relationships/hyperlink" Target="https://en.wikipedia.org/wiki/Cashew" TargetMode="External"/><Relationship Id="rId137" Type="http://schemas.openxmlformats.org/officeDocument/2006/relationships/hyperlink" Target="https://en.wikipedia.org/wiki/Cashew" TargetMode="External"/><Relationship Id="rId379" Type="http://schemas.openxmlformats.org/officeDocument/2006/relationships/hyperlink" Target="https://en.wikipedia.org/wiki/Avocado" TargetMode="External"/><Relationship Id="rId132" Type="http://schemas.openxmlformats.org/officeDocument/2006/relationships/hyperlink" Target="https://en.wikipedia.org/wiki/Cashew" TargetMode="External"/><Relationship Id="rId374" Type="http://schemas.openxmlformats.org/officeDocument/2006/relationships/hyperlink" Target="https://en.wikipedia.org/wiki/Avocado" TargetMode="External"/><Relationship Id="rId131" Type="http://schemas.openxmlformats.org/officeDocument/2006/relationships/hyperlink" Target="https://en.wikipedia.org/wiki/Cashew" TargetMode="External"/><Relationship Id="rId373" Type="http://schemas.openxmlformats.org/officeDocument/2006/relationships/hyperlink" Target="https://en.wikipedia.org/wiki/Syzygium_malaccense" TargetMode="External"/><Relationship Id="rId130" Type="http://schemas.openxmlformats.org/officeDocument/2006/relationships/hyperlink" Target="https://en.wikipedia.org/wiki/Cashew" TargetMode="External"/><Relationship Id="rId372" Type="http://schemas.openxmlformats.org/officeDocument/2006/relationships/hyperlink" Target="https://en.wikipedia.org/wiki/Avocado" TargetMode="External"/><Relationship Id="rId371" Type="http://schemas.openxmlformats.org/officeDocument/2006/relationships/hyperlink" Target="https://en.wikipedia.org/wiki/Mangifera_indica" TargetMode="External"/><Relationship Id="rId136" Type="http://schemas.openxmlformats.org/officeDocument/2006/relationships/hyperlink" Target="https://en.wikipedia.org/wiki/Cashew" TargetMode="External"/><Relationship Id="rId378" Type="http://schemas.openxmlformats.org/officeDocument/2006/relationships/hyperlink" Target="https://en.wikipedia.org/wiki/Avocado" TargetMode="External"/><Relationship Id="rId135" Type="http://schemas.openxmlformats.org/officeDocument/2006/relationships/hyperlink" Target="https://en.wikipedia.org/wiki/Cashew" TargetMode="External"/><Relationship Id="rId377" Type="http://schemas.openxmlformats.org/officeDocument/2006/relationships/hyperlink" Target="https://en.wikipedia.org/wiki/Pouteria_sapota" TargetMode="External"/><Relationship Id="rId134" Type="http://schemas.openxmlformats.org/officeDocument/2006/relationships/hyperlink" Target="https://en.wikipedia.org/wiki/Cashew" TargetMode="External"/><Relationship Id="rId376" Type="http://schemas.openxmlformats.org/officeDocument/2006/relationships/hyperlink" Target="https://en.wikipedia.org/wiki/Avocado" TargetMode="External"/><Relationship Id="rId133" Type="http://schemas.openxmlformats.org/officeDocument/2006/relationships/hyperlink" Target="https://en.wikipedia.org/wiki/Cashew" TargetMode="External"/><Relationship Id="rId375" Type="http://schemas.openxmlformats.org/officeDocument/2006/relationships/hyperlink" Target="https://en.wikipedia.org/wiki/Avocado" TargetMode="External"/><Relationship Id="rId172" Type="http://schemas.openxmlformats.org/officeDocument/2006/relationships/hyperlink" Target="https://en.wikipedia.org/wiki/Cashew" TargetMode="External"/><Relationship Id="rId171" Type="http://schemas.openxmlformats.org/officeDocument/2006/relationships/hyperlink" Target="https://en.wikipedia.org/wiki/Cashew" TargetMode="External"/><Relationship Id="rId170" Type="http://schemas.openxmlformats.org/officeDocument/2006/relationships/hyperlink" Target="https://en.wikipedia.org/wiki/Cashew" TargetMode="External"/><Relationship Id="rId165" Type="http://schemas.openxmlformats.org/officeDocument/2006/relationships/hyperlink" Target="https://en.wikipedia.org/wiki/Cashew" TargetMode="External"/><Relationship Id="rId164" Type="http://schemas.openxmlformats.org/officeDocument/2006/relationships/hyperlink" Target="https://en.wikipedia.org/wiki/Cashew" TargetMode="External"/><Relationship Id="rId163" Type="http://schemas.openxmlformats.org/officeDocument/2006/relationships/hyperlink" Target="https://en.wikipedia.org/wiki/Cashew" TargetMode="External"/><Relationship Id="rId162" Type="http://schemas.openxmlformats.org/officeDocument/2006/relationships/hyperlink" Target="https://en.wikipedia.org/wiki/Cashew" TargetMode="External"/><Relationship Id="rId169" Type="http://schemas.openxmlformats.org/officeDocument/2006/relationships/hyperlink" Target="https://en.wikipedia.org/wiki/Cashew" TargetMode="External"/><Relationship Id="rId168" Type="http://schemas.openxmlformats.org/officeDocument/2006/relationships/hyperlink" Target="https://en.wikipedia.org/wiki/Cashew" TargetMode="External"/><Relationship Id="rId167" Type="http://schemas.openxmlformats.org/officeDocument/2006/relationships/hyperlink" Target="https://en.wikipedia.org/wiki/Cashew" TargetMode="External"/><Relationship Id="rId166" Type="http://schemas.openxmlformats.org/officeDocument/2006/relationships/hyperlink" Target="https://en.wikipedia.org/wiki/Cashew" TargetMode="External"/><Relationship Id="rId161" Type="http://schemas.openxmlformats.org/officeDocument/2006/relationships/hyperlink" Target="https://en.wikipedia.org/wiki/Cashew" TargetMode="External"/><Relationship Id="rId160" Type="http://schemas.openxmlformats.org/officeDocument/2006/relationships/hyperlink" Target="https://en.wikipedia.org/wiki/Cashew" TargetMode="External"/><Relationship Id="rId159" Type="http://schemas.openxmlformats.org/officeDocument/2006/relationships/hyperlink" Target="https://en.wikipedia.org/wiki/Cashew" TargetMode="External"/><Relationship Id="rId154" Type="http://schemas.openxmlformats.org/officeDocument/2006/relationships/hyperlink" Target="https://en.wikipedia.org/wiki/Cashew" TargetMode="External"/><Relationship Id="rId396" Type="http://schemas.openxmlformats.org/officeDocument/2006/relationships/hyperlink" Target="https://en.wikipedia.org/wiki/Pouteria_campechiana" TargetMode="External"/><Relationship Id="rId153" Type="http://schemas.openxmlformats.org/officeDocument/2006/relationships/hyperlink" Target="https://en.wikipedia.org/wiki/Cashew" TargetMode="External"/><Relationship Id="rId395" Type="http://schemas.openxmlformats.org/officeDocument/2006/relationships/hyperlink" Target="https://en.wikipedia.org/wiki/Pouteria_campechiana" TargetMode="External"/><Relationship Id="rId152" Type="http://schemas.openxmlformats.org/officeDocument/2006/relationships/hyperlink" Target="https://en.wikipedia.org/wiki/Cashew" TargetMode="External"/><Relationship Id="rId394" Type="http://schemas.openxmlformats.org/officeDocument/2006/relationships/hyperlink" Target="https://en.wikipedia.org/wiki/Manilkara_zapota" TargetMode="External"/><Relationship Id="rId151" Type="http://schemas.openxmlformats.org/officeDocument/2006/relationships/hyperlink" Target="https://en.wikipedia.org/wiki/Cashew" TargetMode="External"/><Relationship Id="rId393" Type="http://schemas.openxmlformats.org/officeDocument/2006/relationships/hyperlink" Target="https://en.wikipedia.org/wiki/Curcuma_caesia" TargetMode="External"/><Relationship Id="rId158" Type="http://schemas.openxmlformats.org/officeDocument/2006/relationships/hyperlink" Target="https://en.wikipedia.org/wiki/Cashew" TargetMode="External"/><Relationship Id="rId157" Type="http://schemas.openxmlformats.org/officeDocument/2006/relationships/hyperlink" Target="https://en.wikipedia.org/wiki/Cashew" TargetMode="External"/><Relationship Id="rId399" Type="http://schemas.openxmlformats.org/officeDocument/2006/relationships/hyperlink" Target="https://en.wikipedia.org/wiki/Avocado" TargetMode="External"/><Relationship Id="rId156" Type="http://schemas.openxmlformats.org/officeDocument/2006/relationships/hyperlink" Target="https://en.wikipedia.org/wiki/Cashew" TargetMode="External"/><Relationship Id="rId398" Type="http://schemas.openxmlformats.org/officeDocument/2006/relationships/hyperlink" Target="https://en.wikipedia.org/wiki/Pouteria_campechiana" TargetMode="External"/><Relationship Id="rId155" Type="http://schemas.openxmlformats.org/officeDocument/2006/relationships/hyperlink" Target="https://en.wikipedia.org/wiki/Cashew" TargetMode="External"/><Relationship Id="rId397" Type="http://schemas.openxmlformats.org/officeDocument/2006/relationships/hyperlink" Target="https://en.wikipedia.org/wiki/Avocado" TargetMode="External"/><Relationship Id="rId808" Type="http://schemas.openxmlformats.org/officeDocument/2006/relationships/hyperlink" Target="https://en.wikipedia.org/wiki/Mangifera_indica" TargetMode="External"/><Relationship Id="rId807" Type="http://schemas.openxmlformats.org/officeDocument/2006/relationships/hyperlink" Target="https://en.wikipedia.org/wiki/Mangifera_indica" TargetMode="External"/><Relationship Id="rId806" Type="http://schemas.openxmlformats.org/officeDocument/2006/relationships/hyperlink" Target="https://en.wikipedia.org/wiki/Mangifera_casturi" TargetMode="External"/><Relationship Id="rId805" Type="http://schemas.openxmlformats.org/officeDocument/2006/relationships/hyperlink" Target="https://en.wikipedia.org/wiki/Mangifera_casturi" TargetMode="External"/><Relationship Id="rId809" Type="http://schemas.openxmlformats.org/officeDocument/2006/relationships/hyperlink" Target="https://en.wikipedia.org/wiki/Mangifera_indica" TargetMode="External"/><Relationship Id="rId800" Type="http://schemas.openxmlformats.org/officeDocument/2006/relationships/hyperlink" Target="https://en.wikipedia.org/wiki/Mangifera_casturi" TargetMode="External"/><Relationship Id="rId804" Type="http://schemas.openxmlformats.org/officeDocument/2006/relationships/hyperlink" Target="https://en.wikipedia.org/wiki/Mangifera_casturi" TargetMode="External"/><Relationship Id="rId803" Type="http://schemas.openxmlformats.org/officeDocument/2006/relationships/hyperlink" Target="https://en.wikipedia.org/wiki/Mangifera_casturi" TargetMode="External"/><Relationship Id="rId802" Type="http://schemas.openxmlformats.org/officeDocument/2006/relationships/hyperlink" Target="https://en.wikipedia.org/wiki/Mangifera_casturi" TargetMode="External"/><Relationship Id="rId801" Type="http://schemas.openxmlformats.org/officeDocument/2006/relationships/hyperlink" Target="https://en.wikipedia.org/wiki/Mangifera_casturi" TargetMode="External"/><Relationship Id="rId40" Type="http://schemas.openxmlformats.org/officeDocument/2006/relationships/hyperlink" Target="https://en.wikipedia.org/wiki/Cashew" TargetMode="External"/><Relationship Id="rId42" Type="http://schemas.openxmlformats.org/officeDocument/2006/relationships/hyperlink" Target="https://en.wikipedia.org/wiki/Cashew" TargetMode="External"/><Relationship Id="rId41" Type="http://schemas.openxmlformats.org/officeDocument/2006/relationships/hyperlink" Target="https://en.wikipedia.org/wiki/Cashew" TargetMode="External"/><Relationship Id="rId44" Type="http://schemas.openxmlformats.org/officeDocument/2006/relationships/hyperlink" Target="https://en.wikipedia.org/wiki/Cashew" TargetMode="External"/><Relationship Id="rId43" Type="http://schemas.openxmlformats.org/officeDocument/2006/relationships/hyperlink" Target="https://en.wikipedia.org/wiki/Cashew" TargetMode="External"/><Relationship Id="rId46" Type="http://schemas.openxmlformats.org/officeDocument/2006/relationships/hyperlink" Target="https://en.wikipedia.org/wiki/Cashew" TargetMode="External"/><Relationship Id="rId45" Type="http://schemas.openxmlformats.org/officeDocument/2006/relationships/hyperlink" Target="https://en.wikipedia.org/wiki/Cashew" TargetMode="External"/><Relationship Id="rId509" Type="http://schemas.openxmlformats.org/officeDocument/2006/relationships/hyperlink" Target="https://en.wikipedia.org/wiki/Averrhoa_bilimbi" TargetMode="External"/><Relationship Id="rId508" Type="http://schemas.openxmlformats.org/officeDocument/2006/relationships/hyperlink" Target="https://en.wikipedia.org/wiki/Mangifera_indica" TargetMode="External"/><Relationship Id="rId503" Type="http://schemas.openxmlformats.org/officeDocument/2006/relationships/hyperlink" Target="https://en.wikipedia.org/wiki/Rollinia_deliciosa" TargetMode="External"/><Relationship Id="rId745" Type="http://schemas.openxmlformats.org/officeDocument/2006/relationships/hyperlink" Target="https://en.wikipedia.org/wiki/Salacca_zalacca" TargetMode="External"/><Relationship Id="rId502" Type="http://schemas.openxmlformats.org/officeDocument/2006/relationships/hyperlink" Target="https://en.wikipedia.org/wiki/Soursop" TargetMode="External"/><Relationship Id="rId744" Type="http://schemas.openxmlformats.org/officeDocument/2006/relationships/hyperlink" Target="https://en.wikipedia.org/wiki/Salacca_zalacca" TargetMode="External"/><Relationship Id="rId501" Type="http://schemas.openxmlformats.org/officeDocument/2006/relationships/hyperlink" Target="https://en.wikipedia.org/wiki/Soursop" TargetMode="External"/><Relationship Id="rId743" Type="http://schemas.openxmlformats.org/officeDocument/2006/relationships/hyperlink" Target="https://en.wikipedia.org/wiki/Salacca_zalacca" TargetMode="External"/><Relationship Id="rId500" Type="http://schemas.openxmlformats.org/officeDocument/2006/relationships/hyperlink" Target="https://en.wikipedia.org/wiki/Sugar_apple" TargetMode="External"/><Relationship Id="rId742" Type="http://schemas.openxmlformats.org/officeDocument/2006/relationships/hyperlink" Target="https://en.wikipedia.org/wiki/Salacca_zalacca" TargetMode="External"/><Relationship Id="rId507" Type="http://schemas.openxmlformats.org/officeDocument/2006/relationships/hyperlink" Target="https://en.wikipedia.org/wiki/Malpighia_emarginata" TargetMode="External"/><Relationship Id="rId749" Type="http://schemas.openxmlformats.org/officeDocument/2006/relationships/hyperlink" Target="https://en.wikipedia.org/wiki/Salacca_zalacca" TargetMode="External"/><Relationship Id="rId506" Type="http://schemas.openxmlformats.org/officeDocument/2006/relationships/hyperlink" Target="https://en.wikipedia.org/wiki/Jujube" TargetMode="External"/><Relationship Id="rId748" Type="http://schemas.openxmlformats.org/officeDocument/2006/relationships/hyperlink" Target="https://en.wikipedia.org/wiki/Salacca_zalacca" TargetMode="External"/><Relationship Id="rId505" Type="http://schemas.openxmlformats.org/officeDocument/2006/relationships/hyperlink" Target="https://en.wikipedia.org/wiki/Diospyros_nigra" TargetMode="External"/><Relationship Id="rId747" Type="http://schemas.openxmlformats.org/officeDocument/2006/relationships/hyperlink" Target="https://en.wikipedia.org/wiki/Salacca_zalacca" TargetMode="External"/><Relationship Id="rId504" Type="http://schemas.openxmlformats.org/officeDocument/2006/relationships/hyperlink" Target="https://en.wikipedia.org/wiki/Diospyros_nigra" TargetMode="External"/><Relationship Id="rId746" Type="http://schemas.openxmlformats.org/officeDocument/2006/relationships/hyperlink" Target="https://en.wikipedia.org/wiki/Salacca_zalacca" TargetMode="External"/><Relationship Id="rId48" Type="http://schemas.openxmlformats.org/officeDocument/2006/relationships/hyperlink" Target="https://en.wikipedia.org/wiki/Cashew" TargetMode="External"/><Relationship Id="rId47" Type="http://schemas.openxmlformats.org/officeDocument/2006/relationships/hyperlink" Target="https://en.wikipedia.org/wiki/Cashew" TargetMode="External"/><Relationship Id="rId49" Type="http://schemas.openxmlformats.org/officeDocument/2006/relationships/hyperlink" Target="https://en.wikipedia.org/wiki/Cashew" TargetMode="External"/><Relationship Id="rId741" Type="http://schemas.openxmlformats.org/officeDocument/2006/relationships/hyperlink" Target="https://en.wikipedia.org/wiki/Salacca_zalacca" TargetMode="External"/><Relationship Id="rId740" Type="http://schemas.openxmlformats.org/officeDocument/2006/relationships/hyperlink" Target="https://en.wikipedia.org/wiki/Salacca_zalacca" TargetMode="External"/><Relationship Id="rId31" Type="http://schemas.openxmlformats.org/officeDocument/2006/relationships/hyperlink" Target="https://en.wikipedia.org/wiki/Cashew" TargetMode="External"/><Relationship Id="rId30" Type="http://schemas.openxmlformats.org/officeDocument/2006/relationships/hyperlink" Target="https://en.wikipedia.org/wiki/Cashew" TargetMode="External"/><Relationship Id="rId33" Type="http://schemas.openxmlformats.org/officeDocument/2006/relationships/hyperlink" Target="https://en.wikipedia.org/wiki/Cashew" TargetMode="External"/><Relationship Id="rId32" Type="http://schemas.openxmlformats.org/officeDocument/2006/relationships/hyperlink" Target="https://en.wikipedia.org/wiki/Cashew" TargetMode="External"/><Relationship Id="rId35" Type="http://schemas.openxmlformats.org/officeDocument/2006/relationships/hyperlink" Target="https://en.wikipedia.org/wiki/Cashew" TargetMode="External"/><Relationship Id="rId34" Type="http://schemas.openxmlformats.org/officeDocument/2006/relationships/hyperlink" Target="https://en.wikipedia.org/wiki/Cashew" TargetMode="External"/><Relationship Id="rId739" Type="http://schemas.openxmlformats.org/officeDocument/2006/relationships/hyperlink" Target="https://en.wikipedia.org/wiki/Salacca_zalacca" TargetMode="External"/><Relationship Id="rId734" Type="http://schemas.openxmlformats.org/officeDocument/2006/relationships/hyperlink" Target="https://en.wikipedia.org/wiki/Salacca_zalacca" TargetMode="External"/><Relationship Id="rId976" Type="http://schemas.openxmlformats.org/officeDocument/2006/relationships/hyperlink" Target="https://en.wikipedia.org/wiki/Coleus_caninus" TargetMode="External"/><Relationship Id="rId733" Type="http://schemas.openxmlformats.org/officeDocument/2006/relationships/hyperlink" Target="https://en.wikipedia.org/wiki/Salacca_zalacca" TargetMode="External"/><Relationship Id="rId975" Type="http://schemas.openxmlformats.org/officeDocument/2006/relationships/hyperlink" Target="https://en.wikipedia.org/wiki/Coleus_caninus" TargetMode="External"/><Relationship Id="rId732" Type="http://schemas.openxmlformats.org/officeDocument/2006/relationships/hyperlink" Target="https://en.wikipedia.org/wiki/Salacca_zalacca" TargetMode="External"/><Relationship Id="rId974" Type="http://schemas.openxmlformats.org/officeDocument/2006/relationships/hyperlink" Target="https://en.wikipedia.org/wiki/Avocado" TargetMode="External"/><Relationship Id="rId731" Type="http://schemas.openxmlformats.org/officeDocument/2006/relationships/hyperlink" Target="https://en.wikipedia.org/wiki/Salacca_zalacca" TargetMode="External"/><Relationship Id="rId973" Type="http://schemas.openxmlformats.org/officeDocument/2006/relationships/hyperlink" Target="https://en.wikipedia.org/wiki/Vanilla_planifolia" TargetMode="External"/><Relationship Id="rId738" Type="http://schemas.openxmlformats.org/officeDocument/2006/relationships/hyperlink" Target="https://en.wikipedia.org/wiki/Salacca_zalacca" TargetMode="External"/><Relationship Id="rId737" Type="http://schemas.openxmlformats.org/officeDocument/2006/relationships/hyperlink" Target="https://en.wikipedia.org/wiki/Salacca_zalacca" TargetMode="External"/><Relationship Id="rId736" Type="http://schemas.openxmlformats.org/officeDocument/2006/relationships/hyperlink" Target="https://en.wikipedia.org/wiki/Salacca_zalacca" TargetMode="External"/><Relationship Id="rId735" Type="http://schemas.openxmlformats.org/officeDocument/2006/relationships/hyperlink" Target="https://en.wikipedia.org/wiki/Salacca_zalacca" TargetMode="External"/><Relationship Id="rId977" Type="http://schemas.openxmlformats.org/officeDocument/2006/relationships/drawing" Target="../drawings/drawing6.xml"/><Relationship Id="rId37" Type="http://schemas.openxmlformats.org/officeDocument/2006/relationships/hyperlink" Target="https://en.wikipedia.org/wiki/Cashew" TargetMode="External"/><Relationship Id="rId36" Type="http://schemas.openxmlformats.org/officeDocument/2006/relationships/hyperlink" Target="https://en.wikipedia.org/wiki/Cashew" TargetMode="External"/><Relationship Id="rId39" Type="http://schemas.openxmlformats.org/officeDocument/2006/relationships/hyperlink" Target="https://en.wikipedia.org/wiki/Cashew" TargetMode="External"/><Relationship Id="rId38" Type="http://schemas.openxmlformats.org/officeDocument/2006/relationships/hyperlink" Target="https://en.wikipedia.org/wiki/Cashew" TargetMode="External"/><Relationship Id="rId730" Type="http://schemas.openxmlformats.org/officeDocument/2006/relationships/hyperlink" Target="https://en.wikipedia.org/wiki/Salacca_zalacca" TargetMode="External"/><Relationship Id="rId972" Type="http://schemas.openxmlformats.org/officeDocument/2006/relationships/hyperlink" Target="https://en.wikipedia.org/wiki/Vanilla_planifolia" TargetMode="External"/><Relationship Id="rId971" Type="http://schemas.openxmlformats.org/officeDocument/2006/relationships/hyperlink" Target="https://en.wikipedia.org/wiki/Vanilla_planifolia" TargetMode="External"/><Relationship Id="rId970" Type="http://schemas.openxmlformats.org/officeDocument/2006/relationships/hyperlink" Target="https://en.wikipedia.org/wiki/Vanilla_planifolia" TargetMode="External"/><Relationship Id="rId20" Type="http://schemas.openxmlformats.org/officeDocument/2006/relationships/hyperlink" Target="https://en.wikipedia.org/wiki/Cashew" TargetMode="External"/><Relationship Id="rId22" Type="http://schemas.openxmlformats.org/officeDocument/2006/relationships/hyperlink" Target="https://en.wikipedia.org/wiki/Cashew" TargetMode="External"/><Relationship Id="rId21" Type="http://schemas.openxmlformats.org/officeDocument/2006/relationships/hyperlink" Target="https://en.wikipedia.org/wiki/Cashew" TargetMode="External"/><Relationship Id="rId24" Type="http://schemas.openxmlformats.org/officeDocument/2006/relationships/hyperlink" Target="https://en.wikipedia.org/wiki/Cashew" TargetMode="External"/><Relationship Id="rId23" Type="http://schemas.openxmlformats.org/officeDocument/2006/relationships/hyperlink" Target="https://en.wikipedia.org/wiki/Cashew" TargetMode="External"/><Relationship Id="rId525" Type="http://schemas.openxmlformats.org/officeDocument/2006/relationships/hyperlink" Target="https://en.wikipedia.org/wiki/Avocado" TargetMode="External"/><Relationship Id="rId767" Type="http://schemas.openxmlformats.org/officeDocument/2006/relationships/hyperlink" Target="https://en.wikipedia.org/wiki/Salacca_zalacca" TargetMode="External"/><Relationship Id="rId524" Type="http://schemas.openxmlformats.org/officeDocument/2006/relationships/hyperlink" Target="https://en.wikipedia.org/wiki/Avocado" TargetMode="External"/><Relationship Id="rId766" Type="http://schemas.openxmlformats.org/officeDocument/2006/relationships/hyperlink" Target="https://en.wikipedia.org/wiki/Salacca_zalacca" TargetMode="External"/><Relationship Id="rId523" Type="http://schemas.openxmlformats.org/officeDocument/2006/relationships/hyperlink" Target="https://en.wikipedia.org/wiki/Avocado" TargetMode="External"/><Relationship Id="rId765" Type="http://schemas.openxmlformats.org/officeDocument/2006/relationships/hyperlink" Target="https://en.wikipedia.org/wiki/Salacca_zalacca" TargetMode="External"/><Relationship Id="rId522" Type="http://schemas.openxmlformats.org/officeDocument/2006/relationships/hyperlink" Target="https://en.wikipedia.org/wiki/Avocado" TargetMode="External"/><Relationship Id="rId764" Type="http://schemas.openxmlformats.org/officeDocument/2006/relationships/hyperlink" Target="https://en.wikipedia.org/wiki/Salacca_zalacca" TargetMode="External"/><Relationship Id="rId529" Type="http://schemas.openxmlformats.org/officeDocument/2006/relationships/hyperlink" Target="https://en.wikipedia.org/wiki/Pitaya" TargetMode="External"/><Relationship Id="rId528" Type="http://schemas.openxmlformats.org/officeDocument/2006/relationships/hyperlink" Target="https://en.wikipedia.org/wiki/Pitaya" TargetMode="External"/><Relationship Id="rId527" Type="http://schemas.openxmlformats.org/officeDocument/2006/relationships/hyperlink" Target="https://en.wikipedia.org/wiki/Pouteria_caimito" TargetMode="External"/><Relationship Id="rId769" Type="http://schemas.openxmlformats.org/officeDocument/2006/relationships/hyperlink" Target="https://en.wikipedia.org/wiki/Manilkara_zapota" TargetMode="External"/><Relationship Id="rId526" Type="http://schemas.openxmlformats.org/officeDocument/2006/relationships/hyperlink" Target="https://en.wikipedia.org/wiki/Avocado" TargetMode="External"/><Relationship Id="rId768" Type="http://schemas.openxmlformats.org/officeDocument/2006/relationships/hyperlink" Target="https://en.wikipedia.org/wiki/Manilkara_zapota" TargetMode="External"/><Relationship Id="rId26" Type="http://schemas.openxmlformats.org/officeDocument/2006/relationships/hyperlink" Target="https://en.wikipedia.org/wiki/Cashew" TargetMode="External"/><Relationship Id="rId25" Type="http://schemas.openxmlformats.org/officeDocument/2006/relationships/hyperlink" Target="https://en.wikipedia.org/wiki/Cashew" TargetMode="External"/><Relationship Id="rId28" Type="http://schemas.openxmlformats.org/officeDocument/2006/relationships/hyperlink" Target="https://en.wikipedia.org/wiki/Cashew" TargetMode="External"/><Relationship Id="rId27" Type="http://schemas.openxmlformats.org/officeDocument/2006/relationships/hyperlink" Target="https://en.wikipedia.org/wiki/Cashew" TargetMode="External"/><Relationship Id="rId521" Type="http://schemas.openxmlformats.org/officeDocument/2006/relationships/hyperlink" Target="https://en.wikipedia.org/wiki/Jackfruit" TargetMode="External"/><Relationship Id="rId763" Type="http://schemas.openxmlformats.org/officeDocument/2006/relationships/hyperlink" Target="https://en.wikipedia.org/wiki/Salacca_zalacca" TargetMode="External"/><Relationship Id="rId29" Type="http://schemas.openxmlformats.org/officeDocument/2006/relationships/hyperlink" Target="https://en.wikipedia.org/wiki/Cashew" TargetMode="External"/><Relationship Id="rId520" Type="http://schemas.openxmlformats.org/officeDocument/2006/relationships/hyperlink" Target="https://en.wikipedia.org/wiki/Avocado" TargetMode="External"/><Relationship Id="rId762" Type="http://schemas.openxmlformats.org/officeDocument/2006/relationships/hyperlink" Target="https://en.wikipedia.org/wiki/Salacca_zalacca" TargetMode="External"/><Relationship Id="rId761" Type="http://schemas.openxmlformats.org/officeDocument/2006/relationships/hyperlink" Target="https://en.wikipedia.org/wiki/Salacca_zalacca" TargetMode="External"/><Relationship Id="rId760" Type="http://schemas.openxmlformats.org/officeDocument/2006/relationships/hyperlink" Target="https://en.wikipedia.org/wiki/Salacca_zalacca" TargetMode="External"/><Relationship Id="rId11" Type="http://schemas.openxmlformats.org/officeDocument/2006/relationships/hyperlink" Target="https://en.wikipedia.org/wiki/Cashew" TargetMode="External"/><Relationship Id="rId10" Type="http://schemas.openxmlformats.org/officeDocument/2006/relationships/hyperlink" Target="https://en.wikipedia.org/wiki/Cashew" TargetMode="External"/><Relationship Id="rId13" Type="http://schemas.openxmlformats.org/officeDocument/2006/relationships/hyperlink" Target="https://en.wikipedia.org/wiki/Cashew" TargetMode="External"/><Relationship Id="rId12" Type="http://schemas.openxmlformats.org/officeDocument/2006/relationships/hyperlink" Target="https://en.wikipedia.org/wiki/Cashew" TargetMode="External"/><Relationship Id="rId519" Type="http://schemas.openxmlformats.org/officeDocument/2006/relationships/hyperlink" Target="https://en.wikipedia.org/wiki/Avocado" TargetMode="External"/><Relationship Id="rId514" Type="http://schemas.openxmlformats.org/officeDocument/2006/relationships/hyperlink" Target="https://larafarmsmiami.com/products/grafted-avocado-tree-3-gallon" TargetMode="External"/><Relationship Id="rId756" Type="http://schemas.openxmlformats.org/officeDocument/2006/relationships/hyperlink" Target="https://en.wikipedia.org/wiki/Salacca_zalacca" TargetMode="External"/><Relationship Id="rId513" Type="http://schemas.openxmlformats.org/officeDocument/2006/relationships/hyperlink" Target="https://en.wikipedia.org/wiki/Avocado" TargetMode="External"/><Relationship Id="rId755" Type="http://schemas.openxmlformats.org/officeDocument/2006/relationships/hyperlink" Target="https://en.wikipedia.org/wiki/Salacca_zalacca" TargetMode="External"/><Relationship Id="rId512" Type="http://schemas.openxmlformats.org/officeDocument/2006/relationships/hyperlink" Target="https://en.wikipedia.org/wiki/Morus_(plant)" TargetMode="External"/><Relationship Id="rId754" Type="http://schemas.openxmlformats.org/officeDocument/2006/relationships/hyperlink" Target="https://en.wikipedia.org/wiki/Salacca_zalacca" TargetMode="External"/><Relationship Id="rId511" Type="http://schemas.openxmlformats.org/officeDocument/2006/relationships/hyperlink" Target="https://en.wikipedia.org/wiki/Morus_(plant)" TargetMode="External"/><Relationship Id="rId753" Type="http://schemas.openxmlformats.org/officeDocument/2006/relationships/hyperlink" Target="https://en.wikipedia.org/wiki/Salacca_zalacca" TargetMode="External"/><Relationship Id="rId518" Type="http://schemas.openxmlformats.org/officeDocument/2006/relationships/hyperlink" Target="https://en.wikipedia.org/wiki/Avocado" TargetMode="External"/><Relationship Id="rId517" Type="http://schemas.openxmlformats.org/officeDocument/2006/relationships/hyperlink" Target="https://en.wikipedia.org/wiki/Jujube" TargetMode="External"/><Relationship Id="rId759" Type="http://schemas.openxmlformats.org/officeDocument/2006/relationships/hyperlink" Target="https://en.wikipedia.org/wiki/Salacca_zalacca" TargetMode="External"/><Relationship Id="rId516" Type="http://schemas.openxmlformats.org/officeDocument/2006/relationships/hyperlink" Target="https://en.wikipedia.org/wiki/Avocado" TargetMode="External"/><Relationship Id="rId758" Type="http://schemas.openxmlformats.org/officeDocument/2006/relationships/hyperlink" Target="https://en.wikipedia.org/wiki/Salacca_zalacca" TargetMode="External"/><Relationship Id="rId515" Type="http://schemas.openxmlformats.org/officeDocument/2006/relationships/hyperlink" Target="https://en.wikipedia.org/wiki/Avocado" TargetMode="External"/><Relationship Id="rId757" Type="http://schemas.openxmlformats.org/officeDocument/2006/relationships/hyperlink" Target="https://en.wikipedia.org/wiki/Salacca_zalacca" TargetMode="External"/><Relationship Id="rId15" Type="http://schemas.openxmlformats.org/officeDocument/2006/relationships/hyperlink" Target="https://en.wikipedia.org/wiki/Cashew" TargetMode="External"/><Relationship Id="rId14" Type="http://schemas.openxmlformats.org/officeDocument/2006/relationships/hyperlink" Target="https://en.wikipedia.org/wiki/Cashew" TargetMode="External"/><Relationship Id="rId17" Type="http://schemas.openxmlformats.org/officeDocument/2006/relationships/hyperlink" Target="https://en.wikipedia.org/wiki/Cashew" TargetMode="External"/><Relationship Id="rId16" Type="http://schemas.openxmlformats.org/officeDocument/2006/relationships/hyperlink" Target="https://en.wikipedia.org/wiki/Cashew" TargetMode="External"/><Relationship Id="rId19" Type="http://schemas.openxmlformats.org/officeDocument/2006/relationships/hyperlink" Target="https://en.wikipedia.org/wiki/Cashew" TargetMode="External"/><Relationship Id="rId510" Type="http://schemas.openxmlformats.org/officeDocument/2006/relationships/hyperlink" Target="https://en.wikipedia.org/wiki/Fig" TargetMode="External"/><Relationship Id="rId752" Type="http://schemas.openxmlformats.org/officeDocument/2006/relationships/hyperlink" Target="https://en.wikipedia.org/wiki/Salacca_zalacca" TargetMode="External"/><Relationship Id="rId18" Type="http://schemas.openxmlformats.org/officeDocument/2006/relationships/hyperlink" Target="https://en.wikipedia.org/wiki/Cashew" TargetMode="External"/><Relationship Id="rId751" Type="http://schemas.openxmlformats.org/officeDocument/2006/relationships/hyperlink" Target="https://en.wikipedia.org/wiki/Salacca_zalacca" TargetMode="External"/><Relationship Id="rId750" Type="http://schemas.openxmlformats.org/officeDocument/2006/relationships/hyperlink" Target="https://en.wikipedia.org/wiki/Salacca_zalacca" TargetMode="External"/><Relationship Id="rId84" Type="http://schemas.openxmlformats.org/officeDocument/2006/relationships/hyperlink" Target="https://en.wikipedia.org/wiki/Cashew" TargetMode="External"/><Relationship Id="rId83" Type="http://schemas.openxmlformats.org/officeDocument/2006/relationships/hyperlink" Target="https://en.wikipedia.org/wiki/Cashew" TargetMode="External"/><Relationship Id="rId86" Type="http://schemas.openxmlformats.org/officeDocument/2006/relationships/hyperlink" Target="https://en.wikipedia.org/wiki/Cashew" TargetMode="External"/><Relationship Id="rId85" Type="http://schemas.openxmlformats.org/officeDocument/2006/relationships/hyperlink" Target="https://en.wikipedia.org/wiki/Cashew" TargetMode="External"/><Relationship Id="rId88" Type="http://schemas.openxmlformats.org/officeDocument/2006/relationships/hyperlink" Target="https://en.wikipedia.org/wiki/Cashew" TargetMode="External"/><Relationship Id="rId87" Type="http://schemas.openxmlformats.org/officeDocument/2006/relationships/hyperlink" Target="https://en.wikipedia.org/wiki/Cashew" TargetMode="External"/><Relationship Id="rId89" Type="http://schemas.openxmlformats.org/officeDocument/2006/relationships/hyperlink" Target="https://en.wikipedia.org/wiki/Cashew" TargetMode="External"/><Relationship Id="rId709" Type="http://schemas.openxmlformats.org/officeDocument/2006/relationships/hyperlink" Target="https://en.wikipedia.org/wiki/Salacca_zalacca" TargetMode="External"/><Relationship Id="rId708" Type="http://schemas.openxmlformats.org/officeDocument/2006/relationships/hyperlink" Target="https://en.wikipedia.org/wiki/Salacca_zalacca" TargetMode="External"/><Relationship Id="rId707" Type="http://schemas.openxmlformats.org/officeDocument/2006/relationships/hyperlink" Target="https://en.wikipedia.org/wiki/Salacca_zalacca" TargetMode="External"/><Relationship Id="rId949" Type="http://schemas.openxmlformats.org/officeDocument/2006/relationships/hyperlink" Target="https://en.wikipedia.org/wiki/Vanilla_planifolia" TargetMode="External"/><Relationship Id="rId706" Type="http://schemas.openxmlformats.org/officeDocument/2006/relationships/hyperlink" Target="https://en.wikipedia.org/wiki/Salacca_zalacca" TargetMode="External"/><Relationship Id="rId948" Type="http://schemas.openxmlformats.org/officeDocument/2006/relationships/hyperlink" Target="https://en.wikipedia.org/wiki/Malpighia_emarginata" TargetMode="External"/><Relationship Id="rId80" Type="http://schemas.openxmlformats.org/officeDocument/2006/relationships/hyperlink" Target="https://en.wikipedia.org/wiki/Cashew" TargetMode="External"/><Relationship Id="rId82" Type="http://schemas.openxmlformats.org/officeDocument/2006/relationships/hyperlink" Target="https://en.wikipedia.org/wiki/Cashew" TargetMode="External"/><Relationship Id="rId81" Type="http://schemas.openxmlformats.org/officeDocument/2006/relationships/hyperlink" Target="https://en.wikipedia.org/wiki/Cashew" TargetMode="External"/><Relationship Id="rId701" Type="http://schemas.openxmlformats.org/officeDocument/2006/relationships/hyperlink" Target="https://en.wikipedia.org/wiki/Salacca_zalacca" TargetMode="External"/><Relationship Id="rId943" Type="http://schemas.openxmlformats.org/officeDocument/2006/relationships/hyperlink" Target="https://en.wikipedia.org/wiki/Manilkara_zapota" TargetMode="External"/><Relationship Id="rId700" Type="http://schemas.openxmlformats.org/officeDocument/2006/relationships/hyperlink" Target="https://en.wikipedia.org/wiki/Salacca_zalacca" TargetMode="External"/><Relationship Id="rId942" Type="http://schemas.openxmlformats.org/officeDocument/2006/relationships/hyperlink" Target="https://en.wikipedia.org/wiki/Mangifera_indica" TargetMode="External"/><Relationship Id="rId941" Type="http://schemas.openxmlformats.org/officeDocument/2006/relationships/hyperlink" Target="https://en.wikipedia.org/wiki/Mammea_americana" TargetMode="External"/><Relationship Id="rId940" Type="http://schemas.openxmlformats.org/officeDocument/2006/relationships/hyperlink" Target="https://en.wikipedia.org/wiki/Longan" TargetMode="External"/><Relationship Id="rId705" Type="http://schemas.openxmlformats.org/officeDocument/2006/relationships/hyperlink" Target="https://en.wikipedia.org/wiki/Salacca_zalacca" TargetMode="External"/><Relationship Id="rId947" Type="http://schemas.openxmlformats.org/officeDocument/2006/relationships/hyperlink" Target="https://www.epicgardening.com/pitangatuba/" TargetMode="External"/><Relationship Id="rId704" Type="http://schemas.openxmlformats.org/officeDocument/2006/relationships/hyperlink" Target="https://en.wikipedia.org/wiki/Salacca_zalacca" TargetMode="External"/><Relationship Id="rId946" Type="http://schemas.openxmlformats.org/officeDocument/2006/relationships/hyperlink" Target="https://en.wikipedia.org/wiki/Eugenia_involucrata" TargetMode="External"/><Relationship Id="rId703" Type="http://schemas.openxmlformats.org/officeDocument/2006/relationships/hyperlink" Target="https://en.wikipedia.org/wiki/Salacca_zalacca" TargetMode="External"/><Relationship Id="rId945" Type="http://schemas.openxmlformats.org/officeDocument/2006/relationships/hyperlink" Target="https://en.wikipedia.org/wiki/Eugenia_involucrata" TargetMode="External"/><Relationship Id="rId702" Type="http://schemas.openxmlformats.org/officeDocument/2006/relationships/hyperlink" Target="https://en.wikipedia.org/wiki/Salacca_zalacca" TargetMode="External"/><Relationship Id="rId944" Type="http://schemas.openxmlformats.org/officeDocument/2006/relationships/hyperlink" Target="https://en.wikipedia.org/wiki/Grumichama" TargetMode="External"/><Relationship Id="rId73" Type="http://schemas.openxmlformats.org/officeDocument/2006/relationships/hyperlink" Target="https://en.wikipedia.org/wiki/Cashew" TargetMode="External"/><Relationship Id="rId72" Type="http://schemas.openxmlformats.org/officeDocument/2006/relationships/hyperlink" Target="https://en.wikipedia.org/wiki/Cashew" TargetMode="External"/><Relationship Id="rId75" Type="http://schemas.openxmlformats.org/officeDocument/2006/relationships/hyperlink" Target="https://en.wikipedia.org/wiki/Cashew" TargetMode="External"/><Relationship Id="rId74" Type="http://schemas.openxmlformats.org/officeDocument/2006/relationships/hyperlink" Target="https://en.wikipedia.org/wiki/Cashew" TargetMode="External"/><Relationship Id="rId77" Type="http://schemas.openxmlformats.org/officeDocument/2006/relationships/hyperlink" Target="https://en.wikipedia.org/wiki/Cashew" TargetMode="External"/><Relationship Id="rId76" Type="http://schemas.openxmlformats.org/officeDocument/2006/relationships/hyperlink" Target="https://en.wikipedia.org/wiki/Cashew" TargetMode="External"/><Relationship Id="rId79" Type="http://schemas.openxmlformats.org/officeDocument/2006/relationships/hyperlink" Target="https://en.wikipedia.org/wiki/Cashew" TargetMode="External"/><Relationship Id="rId78" Type="http://schemas.openxmlformats.org/officeDocument/2006/relationships/hyperlink" Target="https://en.wikipedia.org/wiki/Cashew" TargetMode="External"/><Relationship Id="rId939" Type="http://schemas.openxmlformats.org/officeDocument/2006/relationships/hyperlink" Target="https://en.wikipedia.org/wiki/Jackfruit" TargetMode="External"/><Relationship Id="rId938" Type="http://schemas.openxmlformats.org/officeDocument/2006/relationships/hyperlink" Target="https://en.wikipedia.org/wiki/Jackfruit" TargetMode="External"/><Relationship Id="rId937" Type="http://schemas.openxmlformats.org/officeDocument/2006/relationships/hyperlink" Target="https://en.wikipedia.org/wiki/Jackfruit" TargetMode="External"/><Relationship Id="rId71" Type="http://schemas.openxmlformats.org/officeDocument/2006/relationships/hyperlink" Target="https://en.wikipedia.org/wiki/Cashew" TargetMode="External"/><Relationship Id="rId70" Type="http://schemas.openxmlformats.org/officeDocument/2006/relationships/hyperlink" Target="https://en.wikipedia.org/wiki/Cashew" TargetMode="External"/><Relationship Id="rId932" Type="http://schemas.openxmlformats.org/officeDocument/2006/relationships/hyperlink" Target="https://en.wikipedia.org/wiki/Pulasan" TargetMode="External"/><Relationship Id="rId931" Type="http://schemas.openxmlformats.org/officeDocument/2006/relationships/hyperlink" Target="https://en.wikipedia.org/wiki/Psidium_guajava" TargetMode="External"/><Relationship Id="rId930" Type="http://schemas.openxmlformats.org/officeDocument/2006/relationships/hyperlink" Target="https://en.wikipedia.org/wiki/Pouteria_sapota" TargetMode="External"/><Relationship Id="rId936" Type="http://schemas.openxmlformats.org/officeDocument/2006/relationships/hyperlink" Target="https://en.wikipedia.org/wiki/Jackfruit" TargetMode="External"/><Relationship Id="rId935" Type="http://schemas.openxmlformats.org/officeDocument/2006/relationships/hyperlink" Target="https://en.wikipedia.org/wiki/Jabuticaba" TargetMode="External"/><Relationship Id="rId934" Type="http://schemas.openxmlformats.org/officeDocument/2006/relationships/hyperlink" Target="https://en.wikipedia.org/wiki/Manilkara_zapota" TargetMode="External"/><Relationship Id="rId933" Type="http://schemas.openxmlformats.org/officeDocument/2006/relationships/hyperlink" Target="https://en.wikipedia.org/wiki/Manilkara_zapota" TargetMode="External"/><Relationship Id="rId62" Type="http://schemas.openxmlformats.org/officeDocument/2006/relationships/hyperlink" Target="https://en.wikipedia.org/wiki/Cashew" TargetMode="External"/><Relationship Id="rId61" Type="http://schemas.openxmlformats.org/officeDocument/2006/relationships/hyperlink" Target="https://en.wikipedia.org/wiki/Cashew" TargetMode="External"/><Relationship Id="rId64" Type="http://schemas.openxmlformats.org/officeDocument/2006/relationships/hyperlink" Target="https://en.wikipedia.org/wiki/Cashew" TargetMode="External"/><Relationship Id="rId63" Type="http://schemas.openxmlformats.org/officeDocument/2006/relationships/hyperlink" Target="https://en.wikipedia.org/wiki/Cashew" TargetMode="External"/><Relationship Id="rId66" Type="http://schemas.openxmlformats.org/officeDocument/2006/relationships/hyperlink" Target="https://en.wikipedia.org/wiki/Cashew" TargetMode="External"/><Relationship Id="rId65" Type="http://schemas.openxmlformats.org/officeDocument/2006/relationships/hyperlink" Target="https://en.wikipedia.org/wiki/Cashew" TargetMode="External"/><Relationship Id="rId68" Type="http://schemas.openxmlformats.org/officeDocument/2006/relationships/hyperlink" Target="https://en.wikipedia.org/wiki/Cashew" TargetMode="External"/><Relationship Id="rId67" Type="http://schemas.openxmlformats.org/officeDocument/2006/relationships/hyperlink" Target="https://en.wikipedia.org/wiki/Cashew" TargetMode="External"/><Relationship Id="rId729" Type="http://schemas.openxmlformats.org/officeDocument/2006/relationships/hyperlink" Target="https://en.wikipedia.org/wiki/Salacca_zalacca" TargetMode="External"/><Relationship Id="rId728" Type="http://schemas.openxmlformats.org/officeDocument/2006/relationships/hyperlink" Target="https://en.wikipedia.org/wiki/Salacca_zalacca" TargetMode="External"/><Relationship Id="rId60" Type="http://schemas.openxmlformats.org/officeDocument/2006/relationships/hyperlink" Target="https://en.wikipedia.org/wiki/Cashew" TargetMode="External"/><Relationship Id="rId723" Type="http://schemas.openxmlformats.org/officeDocument/2006/relationships/hyperlink" Target="https://en.wikipedia.org/wiki/Salacca_zalacca" TargetMode="External"/><Relationship Id="rId965" Type="http://schemas.openxmlformats.org/officeDocument/2006/relationships/hyperlink" Target="https://fr.wikipedia.org/wiki/Eriobotrya_japonica" TargetMode="External"/><Relationship Id="rId722" Type="http://schemas.openxmlformats.org/officeDocument/2006/relationships/hyperlink" Target="https://en.wikipedia.org/wiki/Salacca_zalacca" TargetMode="External"/><Relationship Id="rId964" Type="http://schemas.openxmlformats.org/officeDocument/2006/relationships/hyperlink" Target="https://fr.wikipedia.org/wiki/Eriobotrya_japonica" TargetMode="External"/><Relationship Id="rId721" Type="http://schemas.openxmlformats.org/officeDocument/2006/relationships/hyperlink" Target="https://en.wikipedia.org/wiki/Salacca_zalacca" TargetMode="External"/><Relationship Id="rId963" Type="http://schemas.openxmlformats.org/officeDocument/2006/relationships/hyperlink" Target="https://en.wikipedia.org/wiki/Pouteria_sapota" TargetMode="External"/><Relationship Id="rId720" Type="http://schemas.openxmlformats.org/officeDocument/2006/relationships/hyperlink" Target="https://en.wikipedia.org/wiki/Salacca_zalacca" TargetMode="External"/><Relationship Id="rId962" Type="http://schemas.openxmlformats.org/officeDocument/2006/relationships/hyperlink" Target="https://fr.wikipedia.org/wiki/Eriobotrya_japonica" TargetMode="External"/><Relationship Id="rId727" Type="http://schemas.openxmlformats.org/officeDocument/2006/relationships/hyperlink" Target="https://en.wikipedia.org/wiki/Salacca_zalacca" TargetMode="External"/><Relationship Id="rId969" Type="http://schemas.openxmlformats.org/officeDocument/2006/relationships/hyperlink" Target="https://en.wikipedia.org/wiki/Avocado" TargetMode="External"/><Relationship Id="rId726" Type="http://schemas.openxmlformats.org/officeDocument/2006/relationships/hyperlink" Target="https://en.wikipedia.org/wiki/Salacca_zalacca" TargetMode="External"/><Relationship Id="rId968" Type="http://schemas.openxmlformats.org/officeDocument/2006/relationships/hyperlink" Target="https://en.wikipedia.org/wiki/Manilkara_zapota" TargetMode="External"/><Relationship Id="rId725" Type="http://schemas.openxmlformats.org/officeDocument/2006/relationships/hyperlink" Target="https://en.wikipedia.org/wiki/Salacca_zalacca" TargetMode="External"/><Relationship Id="rId967" Type="http://schemas.openxmlformats.org/officeDocument/2006/relationships/hyperlink" Target="https://en.wikipedia.org/wiki/Manilkara_zapota" TargetMode="External"/><Relationship Id="rId724" Type="http://schemas.openxmlformats.org/officeDocument/2006/relationships/hyperlink" Target="https://en.wikipedia.org/wiki/Salacca_zalacca" TargetMode="External"/><Relationship Id="rId966" Type="http://schemas.openxmlformats.org/officeDocument/2006/relationships/hyperlink" Target="https://fr.wikipedia.org/wiki/Eriobotrya_japonica" TargetMode="External"/><Relationship Id="rId69" Type="http://schemas.openxmlformats.org/officeDocument/2006/relationships/hyperlink" Target="https://en.wikipedia.org/wiki/Cashew" TargetMode="External"/><Relationship Id="rId961" Type="http://schemas.openxmlformats.org/officeDocument/2006/relationships/hyperlink" Target="https://fr.wikipedia.org/wiki/Eriobotrya_japonica" TargetMode="External"/><Relationship Id="rId960" Type="http://schemas.openxmlformats.org/officeDocument/2006/relationships/hyperlink" Target="https://fr.wikipedia.org/wiki/Eriobotrya_japonica" TargetMode="External"/><Relationship Id="rId51" Type="http://schemas.openxmlformats.org/officeDocument/2006/relationships/hyperlink" Target="https://en.wikipedia.org/wiki/Cashew" TargetMode="External"/><Relationship Id="rId50" Type="http://schemas.openxmlformats.org/officeDocument/2006/relationships/hyperlink" Target="https://en.wikipedia.org/wiki/Cashew" TargetMode="External"/><Relationship Id="rId53" Type="http://schemas.openxmlformats.org/officeDocument/2006/relationships/hyperlink" Target="https://en.wikipedia.org/wiki/Cashew" TargetMode="External"/><Relationship Id="rId52" Type="http://schemas.openxmlformats.org/officeDocument/2006/relationships/hyperlink" Target="https://en.wikipedia.org/wiki/Cashew" TargetMode="External"/><Relationship Id="rId55" Type="http://schemas.openxmlformats.org/officeDocument/2006/relationships/hyperlink" Target="https://en.wikipedia.org/wiki/Cashew" TargetMode="External"/><Relationship Id="rId54" Type="http://schemas.openxmlformats.org/officeDocument/2006/relationships/hyperlink" Target="https://en.wikipedia.org/wiki/Cashew" TargetMode="External"/><Relationship Id="rId57" Type="http://schemas.openxmlformats.org/officeDocument/2006/relationships/hyperlink" Target="https://en.wikipedia.org/wiki/Cashew" TargetMode="External"/><Relationship Id="rId56" Type="http://schemas.openxmlformats.org/officeDocument/2006/relationships/hyperlink" Target="https://en.wikipedia.org/wiki/Cashew" TargetMode="External"/><Relationship Id="rId719" Type="http://schemas.openxmlformats.org/officeDocument/2006/relationships/hyperlink" Target="https://en.wikipedia.org/wiki/Salacca_zalacca" TargetMode="External"/><Relationship Id="rId718" Type="http://schemas.openxmlformats.org/officeDocument/2006/relationships/hyperlink" Target="https://en.wikipedia.org/wiki/Salacca_zalacca" TargetMode="External"/><Relationship Id="rId717" Type="http://schemas.openxmlformats.org/officeDocument/2006/relationships/hyperlink" Target="https://en.wikipedia.org/wiki/Salacca_zalacca" TargetMode="External"/><Relationship Id="rId959" Type="http://schemas.openxmlformats.org/officeDocument/2006/relationships/hyperlink" Target="https://fr.wikipedia.org/wiki/Eriobotrya_japonica" TargetMode="External"/><Relationship Id="rId712" Type="http://schemas.openxmlformats.org/officeDocument/2006/relationships/hyperlink" Target="https://en.wikipedia.org/wiki/Salacca_zalacca" TargetMode="External"/><Relationship Id="rId954" Type="http://schemas.openxmlformats.org/officeDocument/2006/relationships/hyperlink" Target="https://en.wikipedia.org/wiki/Mammea_americana" TargetMode="External"/><Relationship Id="rId711" Type="http://schemas.openxmlformats.org/officeDocument/2006/relationships/hyperlink" Target="https://en.wikipedia.org/wiki/Salacca_zalacca" TargetMode="External"/><Relationship Id="rId953" Type="http://schemas.openxmlformats.org/officeDocument/2006/relationships/hyperlink" Target="https://en.wikipedia.org/wiki/Avocado" TargetMode="External"/><Relationship Id="rId710" Type="http://schemas.openxmlformats.org/officeDocument/2006/relationships/hyperlink" Target="https://en.wikipedia.org/wiki/Salacca_zalacca" TargetMode="External"/><Relationship Id="rId952" Type="http://schemas.openxmlformats.org/officeDocument/2006/relationships/hyperlink" Target="https://en.wikipedia.org/wiki/Vanilla_planifolia" TargetMode="External"/><Relationship Id="rId951" Type="http://schemas.openxmlformats.org/officeDocument/2006/relationships/hyperlink" Target="https://en.wikipedia.org/wiki/Vanilla_planifolia" TargetMode="External"/><Relationship Id="rId716" Type="http://schemas.openxmlformats.org/officeDocument/2006/relationships/hyperlink" Target="https://en.wikipedia.org/wiki/Salacca_zalacca" TargetMode="External"/><Relationship Id="rId958" Type="http://schemas.openxmlformats.org/officeDocument/2006/relationships/hyperlink" Target="https://en.wikipedia.org/wiki/Garcinia_humilis" TargetMode="External"/><Relationship Id="rId715" Type="http://schemas.openxmlformats.org/officeDocument/2006/relationships/hyperlink" Target="https://en.wikipedia.org/wiki/Salacca_zalacca" TargetMode="External"/><Relationship Id="rId957" Type="http://schemas.openxmlformats.org/officeDocument/2006/relationships/hyperlink" Target="https://en.wikipedia.org/wiki/Inga" TargetMode="External"/><Relationship Id="rId714" Type="http://schemas.openxmlformats.org/officeDocument/2006/relationships/hyperlink" Target="https://en.wikipedia.org/wiki/Salacca_zalacca" TargetMode="External"/><Relationship Id="rId956" Type="http://schemas.openxmlformats.org/officeDocument/2006/relationships/hyperlink" Target="https://en.wikipedia.org/wiki/Inga" TargetMode="External"/><Relationship Id="rId713" Type="http://schemas.openxmlformats.org/officeDocument/2006/relationships/hyperlink" Target="https://en.wikipedia.org/wiki/Salacca_zalacca" TargetMode="External"/><Relationship Id="rId955" Type="http://schemas.openxmlformats.org/officeDocument/2006/relationships/hyperlink" Target="https://en.wikipedia.org/wiki/Mammea_americana" TargetMode="External"/><Relationship Id="rId59" Type="http://schemas.openxmlformats.org/officeDocument/2006/relationships/hyperlink" Target="https://en.wikipedia.org/wiki/Cashew" TargetMode="External"/><Relationship Id="rId58" Type="http://schemas.openxmlformats.org/officeDocument/2006/relationships/hyperlink" Target="https://en.wikipedia.org/wiki/Cashew" TargetMode="External"/><Relationship Id="rId950" Type="http://schemas.openxmlformats.org/officeDocument/2006/relationships/hyperlink" Target="https://en.wikipedia.org/wiki/Vanilla_planifolia" TargetMode="External"/><Relationship Id="rId590" Type="http://schemas.openxmlformats.org/officeDocument/2006/relationships/hyperlink" Target="https://en.wikipedia.org/wiki/Avocado" TargetMode="External"/><Relationship Id="rId107" Type="http://schemas.openxmlformats.org/officeDocument/2006/relationships/hyperlink" Target="https://en.wikipedia.org/wiki/Cashew" TargetMode="External"/><Relationship Id="rId349" Type="http://schemas.openxmlformats.org/officeDocument/2006/relationships/hyperlink" Target="https://en.wikipedia.org/wiki/Pomegranate" TargetMode="External"/><Relationship Id="rId106" Type="http://schemas.openxmlformats.org/officeDocument/2006/relationships/hyperlink" Target="https://en.wikipedia.org/wiki/Cashew" TargetMode="External"/><Relationship Id="rId348" Type="http://schemas.openxmlformats.org/officeDocument/2006/relationships/hyperlink" Target="https://en.wikipedia.org/wiki/Pomegranate" TargetMode="External"/><Relationship Id="rId105" Type="http://schemas.openxmlformats.org/officeDocument/2006/relationships/hyperlink" Target="https://en.wikipedia.org/wiki/Cashew" TargetMode="External"/><Relationship Id="rId347" Type="http://schemas.openxmlformats.org/officeDocument/2006/relationships/hyperlink" Target="https://en.wikipedia.org/wiki/Pomegranate" TargetMode="External"/><Relationship Id="rId589" Type="http://schemas.openxmlformats.org/officeDocument/2006/relationships/hyperlink" Target="https://en.wikipedia.org/wiki/Avocado" TargetMode="External"/><Relationship Id="rId104" Type="http://schemas.openxmlformats.org/officeDocument/2006/relationships/hyperlink" Target="https://en.wikipedia.org/wiki/Cashew" TargetMode="External"/><Relationship Id="rId346" Type="http://schemas.openxmlformats.org/officeDocument/2006/relationships/hyperlink" Target="https://en.wikipedia.org/wiki/Pomegranate" TargetMode="External"/><Relationship Id="rId588" Type="http://schemas.openxmlformats.org/officeDocument/2006/relationships/hyperlink" Target="https://en.wikipedia.org/wiki/Avocado" TargetMode="External"/><Relationship Id="rId109" Type="http://schemas.openxmlformats.org/officeDocument/2006/relationships/hyperlink" Target="https://en.wikipedia.org/wiki/Cashew" TargetMode="External"/><Relationship Id="rId108" Type="http://schemas.openxmlformats.org/officeDocument/2006/relationships/hyperlink" Target="https://en.wikipedia.org/wiki/Cashew" TargetMode="External"/><Relationship Id="rId341" Type="http://schemas.openxmlformats.org/officeDocument/2006/relationships/hyperlink" Target="https://en.wikipedia.org/wiki/Mangifera_indica" TargetMode="External"/><Relationship Id="rId583" Type="http://schemas.openxmlformats.org/officeDocument/2006/relationships/hyperlink" Target="https://en.wikipedia.org/wiki/Manilkara_zapota" TargetMode="External"/><Relationship Id="rId340" Type="http://schemas.openxmlformats.org/officeDocument/2006/relationships/hyperlink" Target="https://en.wikipedia.org/wiki/Bunchosia" TargetMode="External"/><Relationship Id="rId582" Type="http://schemas.openxmlformats.org/officeDocument/2006/relationships/hyperlink" Target="https://en.wikipedia.org/wiki/Manilkara_zapota" TargetMode="External"/><Relationship Id="rId581" Type="http://schemas.openxmlformats.org/officeDocument/2006/relationships/hyperlink" Target="https://en.wikipedia.org/wiki/Manilkara_zapota" TargetMode="External"/><Relationship Id="rId580" Type="http://schemas.openxmlformats.org/officeDocument/2006/relationships/hyperlink" Target="https://en.wikipedia.org/wiki/Jackfruit" TargetMode="External"/><Relationship Id="rId103" Type="http://schemas.openxmlformats.org/officeDocument/2006/relationships/hyperlink" Target="https://en.wikipedia.org/wiki/Cashew" TargetMode="External"/><Relationship Id="rId345" Type="http://schemas.openxmlformats.org/officeDocument/2006/relationships/hyperlink" Target="https://en.wikipedia.org/wiki/Pomegranate" TargetMode="External"/><Relationship Id="rId587" Type="http://schemas.openxmlformats.org/officeDocument/2006/relationships/hyperlink" Target="https://en.wikipedia.org/wiki/Avocado" TargetMode="External"/><Relationship Id="rId102" Type="http://schemas.openxmlformats.org/officeDocument/2006/relationships/hyperlink" Target="https://en.wikipedia.org/wiki/Cashew" TargetMode="External"/><Relationship Id="rId344" Type="http://schemas.openxmlformats.org/officeDocument/2006/relationships/hyperlink" Target="https://en.wikipedia.org/wiki/Pomegranate" TargetMode="External"/><Relationship Id="rId586" Type="http://schemas.openxmlformats.org/officeDocument/2006/relationships/hyperlink" Target="https://en.wikipedia.org/wiki/Jackfruit" TargetMode="External"/><Relationship Id="rId101" Type="http://schemas.openxmlformats.org/officeDocument/2006/relationships/hyperlink" Target="https://en.wikipedia.org/wiki/Cashew" TargetMode="External"/><Relationship Id="rId343" Type="http://schemas.openxmlformats.org/officeDocument/2006/relationships/hyperlink" Target="https://en.wikipedia.org/wiki/Fig" TargetMode="External"/><Relationship Id="rId585" Type="http://schemas.openxmlformats.org/officeDocument/2006/relationships/hyperlink" Target="https://en.wikipedia.org/wiki/Avocado" TargetMode="External"/><Relationship Id="rId100" Type="http://schemas.openxmlformats.org/officeDocument/2006/relationships/hyperlink" Target="https://en.wikipedia.org/wiki/Cashew" TargetMode="External"/><Relationship Id="rId342" Type="http://schemas.openxmlformats.org/officeDocument/2006/relationships/hyperlink" Target="https://en.wikipedia.org/wiki/Curcuma_amada" TargetMode="External"/><Relationship Id="rId584" Type="http://schemas.openxmlformats.org/officeDocument/2006/relationships/hyperlink" Target="https://en.wikipedia.org/wiki/Avocado" TargetMode="External"/><Relationship Id="rId338" Type="http://schemas.openxmlformats.org/officeDocument/2006/relationships/hyperlink" Target="https://en.wikipedia.org/wiki/Bunchosia" TargetMode="External"/><Relationship Id="rId337" Type="http://schemas.openxmlformats.org/officeDocument/2006/relationships/hyperlink" Target="https://en.wikipedia.org/wiki/Pitaya" TargetMode="External"/><Relationship Id="rId579" Type="http://schemas.openxmlformats.org/officeDocument/2006/relationships/hyperlink" Target="https://en.wikipedia.org/wiki/Syzygium_malaccense" TargetMode="External"/><Relationship Id="rId336" Type="http://schemas.openxmlformats.org/officeDocument/2006/relationships/hyperlink" Target="https://en.wikipedia.org/wiki/Bunchosia" TargetMode="External"/><Relationship Id="rId578" Type="http://schemas.openxmlformats.org/officeDocument/2006/relationships/hyperlink" Target="https://en.wikipedia.org/wiki/Garcinia_humilis" TargetMode="External"/><Relationship Id="rId335" Type="http://schemas.openxmlformats.org/officeDocument/2006/relationships/hyperlink" Target="https://en.wikipedia.org/wiki/Bunchosia" TargetMode="External"/><Relationship Id="rId577" Type="http://schemas.openxmlformats.org/officeDocument/2006/relationships/hyperlink" Target="https://en.wikipedia.org/wiki/Avocado" TargetMode="External"/><Relationship Id="rId339" Type="http://schemas.openxmlformats.org/officeDocument/2006/relationships/hyperlink" Target="https://en.wikipedia.org/wiki/Bunchosia" TargetMode="External"/><Relationship Id="rId330" Type="http://schemas.openxmlformats.org/officeDocument/2006/relationships/hyperlink" Target="https://en.wikipedia.org/wiki/Inga_edulis" TargetMode="External"/><Relationship Id="rId572" Type="http://schemas.openxmlformats.org/officeDocument/2006/relationships/hyperlink" Target="https://en.wikipedia.org/wiki/Jackfruit" TargetMode="External"/><Relationship Id="rId571" Type="http://schemas.openxmlformats.org/officeDocument/2006/relationships/hyperlink" Target="https://en.wikipedia.org/wiki/Psidium_guajava" TargetMode="External"/><Relationship Id="rId570" Type="http://schemas.openxmlformats.org/officeDocument/2006/relationships/hyperlink" Target="https://en.wikipedia.org/wiki/Psidium_guajava" TargetMode="External"/><Relationship Id="rId334" Type="http://schemas.openxmlformats.org/officeDocument/2006/relationships/hyperlink" Target="https://en.wikipedia.org/wiki/Mangifera_indica" TargetMode="External"/><Relationship Id="rId576" Type="http://schemas.openxmlformats.org/officeDocument/2006/relationships/hyperlink" Target="https://en.wikipedia.org/wiki/Avocado" TargetMode="External"/><Relationship Id="rId333" Type="http://schemas.openxmlformats.org/officeDocument/2006/relationships/hyperlink" Target="https://en.wikipedia.org/wiki/Mangifera_indica" TargetMode="External"/><Relationship Id="rId575" Type="http://schemas.openxmlformats.org/officeDocument/2006/relationships/hyperlink" Target="https://en.wikipedia.org/wiki/Jujube" TargetMode="External"/><Relationship Id="rId332" Type="http://schemas.openxmlformats.org/officeDocument/2006/relationships/hyperlink" Target="https://en.wikipedia.org/wiki/Pitaya" TargetMode="External"/><Relationship Id="rId574" Type="http://schemas.openxmlformats.org/officeDocument/2006/relationships/hyperlink" Target="https://en.wikipedia.org/wiki/Manilkara_zapota" TargetMode="External"/><Relationship Id="rId331" Type="http://schemas.openxmlformats.org/officeDocument/2006/relationships/hyperlink" Target="https://en.wikipedia.org/wiki/Morus_(plant)" TargetMode="External"/><Relationship Id="rId573" Type="http://schemas.openxmlformats.org/officeDocument/2006/relationships/hyperlink" Target="https://en.wikipedia.org/wiki/Jackfruit" TargetMode="External"/><Relationship Id="rId370" Type="http://schemas.openxmlformats.org/officeDocument/2006/relationships/hyperlink" Target="https://en.wikipedia.org/wiki/Diospyros_kaki" TargetMode="External"/><Relationship Id="rId129" Type="http://schemas.openxmlformats.org/officeDocument/2006/relationships/hyperlink" Target="https://en.wikipedia.org/wiki/Cashew" TargetMode="External"/><Relationship Id="rId128" Type="http://schemas.openxmlformats.org/officeDocument/2006/relationships/hyperlink" Target="https://en.wikipedia.org/wiki/Cashew" TargetMode="External"/><Relationship Id="rId127" Type="http://schemas.openxmlformats.org/officeDocument/2006/relationships/hyperlink" Target="https://en.wikipedia.org/wiki/Cashew" TargetMode="External"/><Relationship Id="rId369" Type="http://schemas.openxmlformats.org/officeDocument/2006/relationships/hyperlink" Target="https://en.wikipedia.org/wiki/Diospyros_kaki" TargetMode="External"/><Relationship Id="rId126" Type="http://schemas.openxmlformats.org/officeDocument/2006/relationships/hyperlink" Target="https://en.wikipedia.org/wiki/Cashew" TargetMode="External"/><Relationship Id="rId368" Type="http://schemas.openxmlformats.org/officeDocument/2006/relationships/hyperlink" Target="https://en.wikipedia.org/wiki/Diospyros_kaki" TargetMode="External"/><Relationship Id="rId121" Type="http://schemas.openxmlformats.org/officeDocument/2006/relationships/hyperlink" Target="https://en.wikipedia.org/wiki/Cashew" TargetMode="External"/><Relationship Id="rId363" Type="http://schemas.openxmlformats.org/officeDocument/2006/relationships/hyperlink" Target="https://en.wikipedia.org/wiki/Diospyros_kaki" TargetMode="External"/><Relationship Id="rId120" Type="http://schemas.openxmlformats.org/officeDocument/2006/relationships/hyperlink" Target="https://en.wikipedia.org/wiki/Cashew" TargetMode="External"/><Relationship Id="rId362" Type="http://schemas.openxmlformats.org/officeDocument/2006/relationships/hyperlink" Target="https://en.wikipedia.org/wiki/Annona_purpurea" TargetMode="External"/><Relationship Id="rId361" Type="http://schemas.openxmlformats.org/officeDocument/2006/relationships/hyperlink" Target="https://en.wikipedia.org/wiki/Annona_purpurea" TargetMode="External"/><Relationship Id="rId360" Type="http://schemas.openxmlformats.org/officeDocument/2006/relationships/hyperlink" Target="https://en.wikipedia.org/wiki/Pouteria_sapota" TargetMode="External"/><Relationship Id="rId125" Type="http://schemas.openxmlformats.org/officeDocument/2006/relationships/hyperlink" Target="https://en.wikipedia.org/wiki/Cashew" TargetMode="External"/><Relationship Id="rId367" Type="http://schemas.openxmlformats.org/officeDocument/2006/relationships/hyperlink" Target="https://en.wikipedia.org/wiki/Rollinia_deliciosa" TargetMode="External"/><Relationship Id="rId124" Type="http://schemas.openxmlformats.org/officeDocument/2006/relationships/hyperlink" Target="https://en.wikipedia.org/wiki/Cashew" TargetMode="External"/><Relationship Id="rId366" Type="http://schemas.openxmlformats.org/officeDocument/2006/relationships/hyperlink" Target="https://en.wikipedia.org/wiki/Diospyros_kaki" TargetMode="External"/><Relationship Id="rId123" Type="http://schemas.openxmlformats.org/officeDocument/2006/relationships/hyperlink" Target="https://en.wikipedia.org/wiki/Cashew" TargetMode="External"/><Relationship Id="rId365" Type="http://schemas.openxmlformats.org/officeDocument/2006/relationships/hyperlink" Target="https://en.wikipedia.org/wiki/Diospyros_kaki" TargetMode="External"/><Relationship Id="rId122" Type="http://schemas.openxmlformats.org/officeDocument/2006/relationships/hyperlink" Target="https://en.wikipedia.org/wiki/Cashew" TargetMode="External"/><Relationship Id="rId364" Type="http://schemas.openxmlformats.org/officeDocument/2006/relationships/hyperlink" Target="https://en.wikipedia.org/wiki/Pouteria_sapota" TargetMode="External"/><Relationship Id="rId95" Type="http://schemas.openxmlformats.org/officeDocument/2006/relationships/hyperlink" Target="https://en.wikipedia.org/wiki/Cashew" TargetMode="External"/><Relationship Id="rId94" Type="http://schemas.openxmlformats.org/officeDocument/2006/relationships/hyperlink" Target="https://en.wikipedia.org/wiki/Cashew" TargetMode="External"/><Relationship Id="rId97" Type="http://schemas.openxmlformats.org/officeDocument/2006/relationships/hyperlink" Target="https://en.wikipedia.org/wiki/Cashew" TargetMode="External"/><Relationship Id="rId96" Type="http://schemas.openxmlformats.org/officeDocument/2006/relationships/hyperlink" Target="https://en.wikipedia.org/wiki/Cashew" TargetMode="External"/><Relationship Id="rId99" Type="http://schemas.openxmlformats.org/officeDocument/2006/relationships/hyperlink" Target="https://en.wikipedia.org/wiki/Cashew" TargetMode="External"/><Relationship Id="rId98" Type="http://schemas.openxmlformats.org/officeDocument/2006/relationships/hyperlink" Target="https://en.wikipedia.org/wiki/Cashew" TargetMode="External"/><Relationship Id="rId91" Type="http://schemas.openxmlformats.org/officeDocument/2006/relationships/hyperlink" Target="https://en.wikipedia.org/wiki/Cashew" TargetMode="External"/><Relationship Id="rId90" Type="http://schemas.openxmlformats.org/officeDocument/2006/relationships/hyperlink" Target="https://en.wikipedia.org/wiki/Cashew" TargetMode="External"/><Relationship Id="rId93" Type="http://schemas.openxmlformats.org/officeDocument/2006/relationships/hyperlink" Target="https://en.wikipedia.org/wiki/Cashew" TargetMode="External"/><Relationship Id="rId92" Type="http://schemas.openxmlformats.org/officeDocument/2006/relationships/hyperlink" Target="https://en.wikipedia.org/wiki/Cashew" TargetMode="External"/><Relationship Id="rId118" Type="http://schemas.openxmlformats.org/officeDocument/2006/relationships/hyperlink" Target="https://en.wikipedia.org/wiki/Cashew" TargetMode="External"/><Relationship Id="rId117" Type="http://schemas.openxmlformats.org/officeDocument/2006/relationships/hyperlink" Target="https://en.wikipedia.org/wiki/Cashew" TargetMode="External"/><Relationship Id="rId359" Type="http://schemas.openxmlformats.org/officeDocument/2006/relationships/hyperlink" Target="https://en.wikipedia.org/wiki/Pouteria_sapota" TargetMode="External"/><Relationship Id="rId116" Type="http://schemas.openxmlformats.org/officeDocument/2006/relationships/hyperlink" Target="https://en.wikipedia.org/wiki/Cashew" TargetMode="External"/><Relationship Id="rId358" Type="http://schemas.openxmlformats.org/officeDocument/2006/relationships/hyperlink" Target="https://en.wikipedia.org/wiki/Mangifera_indica" TargetMode="External"/><Relationship Id="rId115" Type="http://schemas.openxmlformats.org/officeDocument/2006/relationships/hyperlink" Target="https://en.wikipedia.org/wiki/Cashew" TargetMode="External"/><Relationship Id="rId357" Type="http://schemas.openxmlformats.org/officeDocument/2006/relationships/hyperlink" Target="https://en.wikipedia.org/wiki/Longan" TargetMode="External"/><Relationship Id="rId599" Type="http://schemas.openxmlformats.org/officeDocument/2006/relationships/hyperlink" Target="https://en.wikipedia.org/wiki/Inga_edulis" TargetMode="External"/><Relationship Id="rId119" Type="http://schemas.openxmlformats.org/officeDocument/2006/relationships/hyperlink" Target="https://en.wikipedia.org/wiki/Cashew" TargetMode="External"/><Relationship Id="rId110" Type="http://schemas.openxmlformats.org/officeDocument/2006/relationships/hyperlink" Target="https://en.wikipedia.org/wiki/Cashew" TargetMode="External"/><Relationship Id="rId352" Type="http://schemas.openxmlformats.org/officeDocument/2006/relationships/hyperlink" Target="https://en.wikipedia.org/wiki/Morus_(plant)" TargetMode="External"/><Relationship Id="rId594" Type="http://schemas.openxmlformats.org/officeDocument/2006/relationships/hyperlink" Target="https://en.wikipedia.org/wiki/Avocado" TargetMode="External"/><Relationship Id="rId351" Type="http://schemas.openxmlformats.org/officeDocument/2006/relationships/hyperlink" Target="https://en.wikipedia.org/wiki/Morus_(plant)" TargetMode="External"/><Relationship Id="rId593" Type="http://schemas.openxmlformats.org/officeDocument/2006/relationships/hyperlink" Target="https://en.wikipedia.org/wiki/Moringa_oleifera" TargetMode="External"/><Relationship Id="rId350" Type="http://schemas.openxmlformats.org/officeDocument/2006/relationships/hyperlink" Target="https://en.wikipedia.org/wiki/Morus_(plant)" TargetMode="External"/><Relationship Id="rId592" Type="http://schemas.openxmlformats.org/officeDocument/2006/relationships/hyperlink" Target="https://en.wikipedia.org/wiki/Avocado" TargetMode="External"/><Relationship Id="rId591" Type="http://schemas.openxmlformats.org/officeDocument/2006/relationships/hyperlink" Target="https://en.wikipedia.org/wiki/Avocado" TargetMode="External"/><Relationship Id="rId114" Type="http://schemas.openxmlformats.org/officeDocument/2006/relationships/hyperlink" Target="https://en.wikipedia.org/wiki/Cashew" TargetMode="External"/><Relationship Id="rId356" Type="http://schemas.openxmlformats.org/officeDocument/2006/relationships/hyperlink" Target="https://en.wikipedia.org/wiki/Mangifera_indica" TargetMode="External"/><Relationship Id="rId598" Type="http://schemas.openxmlformats.org/officeDocument/2006/relationships/hyperlink" Target="https://en.wikipedia.org/wiki/Avocado" TargetMode="External"/><Relationship Id="rId113" Type="http://schemas.openxmlformats.org/officeDocument/2006/relationships/hyperlink" Target="https://en.wikipedia.org/wiki/Cashew" TargetMode="External"/><Relationship Id="rId355" Type="http://schemas.openxmlformats.org/officeDocument/2006/relationships/hyperlink" Target="https://en.wikipedia.org/wiki/Mangifera_indica" TargetMode="External"/><Relationship Id="rId597" Type="http://schemas.openxmlformats.org/officeDocument/2006/relationships/hyperlink" Target="https://en.wikipedia.org/wiki/Avocado" TargetMode="External"/><Relationship Id="rId112" Type="http://schemas.openxmlformats.org/officeDocument/2006/relationships/hyperlink" Target="https://en.wikipedia.org/wiki/Cashew" TargetMode="External"/><Relationship Id="rId354" Type="http://schemas.openxmlformats.org/officeDocument/2006/relationships/hyperlink" Target="https://en.wikipedia.org/wiki/Mangifera_indica" TargetMode="External"/><Relationship Id="rId596" Type="http://schemas.openxmlformats.org/officeDocument/2006/relationships/hyperlink" Target="https://en.wikipedia.org/wiki/Avocado" TargetMode="External"/><Relationship Id="rId111" Type="http://schemas.openxmlformats.org/officeDocument/2006/relationships/hyperlink" Target="https://en.wikipedia.org/wiki/Cashew" TargetMode="External"/><Relationship Id="rId353" Type="http://schemas.openxmlformats.org/officeDocument/2006/relationships/hyperlink" Target="https://en.wikipedia.org/wiki/Mangifera_indica" TargetMode="External"/><Relationship Id="rId595" Type="http://schemas.openxmlformats.org/officeDocument/2006/relationships/hyperlink" Target="https://en.wikipedia.org/wiki/Avocado" TargetMode="External"/><Relationship Id="rId305" Type="http://schemas.openxmlformats.org/officeDocument/2006/relationships/hyperlink" Target="https://en.wikipedia.org/wiki/Pitaya" TargetMode="External"/><Relationship Id="rId547" Type="http://schemas.openxmlformats.org/officeDocument/2006/relationships/hyperlink" Target="https://en.wikipedia.org/wiki/Pouteria_sapota" TargetMode="External"/><Relationship Id="rId789" Type="http://schemas.openxmlformats.org/officeDocument/2006/relationships/hyperlink" Target="https://en.wikipedia.org/wiki/Dimocarpus_longan" TargetMode="External"/><Relationship Id="rId304" Type="http://schemas.openxmlformats.org/officeDocument/2006/relationships/hyperlink" Target="https://en.wikipedia.org/wiki/Pouteria_campechiana" TargetMode="External"/><Relationship Id="rId546" Type="http://schemas.openxmlformats.org/officeDocument/2006/relationships/hyperlink" Target="https://en.wikipedia.org/wiki/Spondias_purpurea" TargetMode="External"/><Relationship Id="rId788" Type="http://schemas.openxmlformats.org/officeDocument/2006/relationships/hyperlink" Target="https://en.wikipedia.org/wiki/Dimocarpus_longan" TargetMode="External"/><Relationship Id="rId303" Type="http://schemas.openxmlformats.org/officeDocument/2006/relationships/hyperlink" Target="https://en.wikipedia.org/wiki/Pitaya" TargetMode="External"/><Relationship Id="rId545" Type="http://schemas.openxmlformats.org/officeDocument/2006/relationships/hyperlink" Target="https://en.wikipedia.org/wiki/Spondias_purpurea" TargetMode="External"/><Relationship Id="rId787" Type="http://schemas.openxmlformats.org/officeDocument/2006/relationships/hyperlink" Target="https://en.wikipedia.org/wiki/Dimocarpus_longan" TargetMode="External"/><Relationship Id="rId302" Type="http://schemas.openxmlformats.org/officeDocument/2006/relationships/hyperlink" Target="https://en.wikipedia.org/wiki/Pouteria_campechiana" TargetMode="External"/><Relationship Id="rId544" Type="http://schemas.openxmlformats.org/officeDocument/2006/relationships/hyperlink" Target="https://en.wikipedia.org/wiki/Pitaya" TargetMode="External"/><Relationship Id="rId786" Type="http://schemas.openxmlformats.org/officeDocument/2006/relationships/hyperlink" Target="https://en.wikipedia.org/wiki/Dimocarpus_longan" TargetMode="External"/><Relationship Id="rId309" Type="http://schemas.openxmlformats.org/officeDocument/2006/relationships/hyperlink" Target="https://en.wikipedia.org/wiki/Averrhoa_carambola" TargetMode="External"/><Relationship Id="rId308" Type="http://schemas.openxmlformats.org/officeDocument/2006/relationships/hyperlink" Target="https://en.wikipedia.org/wiki/Averrhoa_carambola" TargetMode="External"/><Relationship Id="rId307" Type="http://schemas.openxmlformats.org/officeDocument/2006/relationships/hyperlink" Target="https://en.wikipedia.org/wiki/Pouteria_campechiana" TargetMode="External"/><Relationship Id="rId549" Type="http://schemas.openxmlformats.org/officeDocument/2006/relationships/hyperlink" Target="https://en.wikipedia.org/wiki/Avocado" TargetMode="External"/><Relationship Id="rId306" Type="http://schemas.openxmlformats.org/officeDocument/2006/relationships/hyperlink" Target="https://en.wikipedia.org/wiki/Pouteria_campechiana" TargetMode="External"/><Relationship Id="rId548" Type="http://schemas.openxmlformats.org/officeDocument/2006/relationships/hyperlink" Target="https://en.wikipedia.org/wiki/Chrysophyllum_cainito" TargetMode="External"/><Relationship Id="rId781" Type="http://schemas.openxmlformats.org/officeDocument/2006/relationships/hyperlink" Target="https://en.wikipedia.org/wiki/Manilkara_zapota" TargetMode="External"/><Relationship Id="rId780" Type="http://schemas.openxmlformats.org/officeDocument/2006/relationships/hyperlink" Target="https://en.wikipedia.org/wiki/Manilkara_zapota" TargetMode="External"/><Relationship Id="rId301" Type="http://schemas.openxmlformats.org/officeDocument/2006/relationships/hyperlink" Target="https://en.wikipedia.org/wiki/Pouteria_campechiana" TargetMode="External"/><Relationship Id="rId543" Type="http://schemas.openxmlformats.org/officeDocument/2006/relationships/hyperlink" Target="https://en.wikipedia.org/wiki/Selenicereus_megalanthus" TargetMode="External"/><Relationship Id="rId785" Type="http://schemas.openxmlformats.org/officeDocument/2006/relationships/hyperlink" Target="https://en.wikipedia.org/wiki/Manilkara_zapota" TargetMode="External"/><Relationship Id="rId300" Type="http://schemas.openxmlformats.org/officeDocument/2006/relationships/hyperlink" Target="https://en.wikipedia.org/wiki/Pouteria_campechiana" TargetMode="External"/><Relationship Id="rId542" Type="http://schemas.openxmlformats.org/officeDocument/2006/relationships/hyperlink" Target="https://en.wikipedia.org/wiki/Pitaya" TargetMode="External"/><Relationship Id="rId784" Type="http://schemas.openxmlformats.org/officeDocument/2006/relationships/hyperlink" Target="https://en.wikipedia.org/wiki/Manilkara_zapota" TargetMode="External"/><Relationship Id="rId541" Type="http://schemas.openxmlformats.org/officeDocument/2006/relationships/hyperlink" Target="https://en.wikipedia.org/wiki/Pitaya" TargetMode="External"/><Relationship Id="rId783" Type="http://schemas.openxmlformats.org/officeDocument/2006/relationships/hyperlink" Target="https://en.wikipedia.org/wiki/Manilkara_zapota" TargetMode="External"/><Relationship Id="rId540" Type="http://schemas.openxmlformats.org/officeDocument/2006/relationships/hyperlink" Target="https://en.wikipedia.org/wiki/Pitaya" TargetMode="External"/><Relationship Id="rId782" Type="http://schemas.openxmlformats.org/officeDocument/2006/relationships/hyperlink" Target="https://en.wikipedia.org/wiki/Manilkara_zapota" TargetMode="External"/><Relationship Id="rId536" Type="http://schemas.openxmlformats.org/officeDocument/2006/relationships/hyperlink" Target="https://en.wikipedia.org/wiki/Pitaya" TargetMode="External"/><Relationship Id="rId778" Type="http://schemas.openxmlformats.org/officeDocument/2006/relationships/hyperlink" Target="https://en.wikipedia.org/wiki/Manilkara_zapota" TargetMode="External"/><Relationship Id="rId535" Type="http://schemas.openxmlformats.org/officeDocument/2006/relationships/hyperlink" Target="https://en.wikipedia.org/wiki/Pitaya" TargetMode="External"/><Relationship Id="rId777" Type="http://schemas.openxmlformats.org/officeDocument/2006/relationships/hyperlink" Target="https://en.wikipedia.org/wiki/Manilkara_zapota" TargetMode="External"/><Relationship Id="rId534" Type="http://schemas.openxmlformats.org/officeDocument/2006/relationships/hyperlink" Target="https://en.wikipedia.org/wiki/Selenicereus_megalanthus" TargetMode="External"/><Relationship Id="rId776" Type="http://schemas.openxmlformats.org/officeDocument/2006/relationships/hyperlink" Target="https://en.wikipedia.org/wiki/Manilkara_zapota" TargetMode="External"/><Relationship Id="rId533" Type="http://schemas.openxmlformats.org/officeDocument/2006/relationships/hyperlink" Target="https://en.wikipedia.org/wiki/Selenicereus_megalanthus" TargetMode="External"/><Relationship Id="rId775" Type="http://schemas.openxmlformats.org/officeDocument/2006/relationships/hyperlink" Target="https://en.wikipedia.org/wiki/Manilkara_zapota" TargetMode="External"/><Relationship Id="rId539" Type="http://schemas.openxmlformats.org/officeDocument/2006/relationships/hyperlink" Target="https://en.wikipedia.org/wiki/Pitaya" TargetMode="External"/><Relationship Id="rId538" Type="http://schemas.openxmlformats.org/officeDocument/2006/relationships/hyperlink" Target="https://en.wikipedia.org/wiki/Pitaya" TargetMode="External"/><Relationship Id="rId537" Type="http://schemas.openxmlformats.org/officeDocument/2006/relationships/hyperlink" Target="https://en.wikipedia.org/wiki/Pitaya" TargetMode="External"/><Relationship Id="rId779" Type="http://schemas.openxmlformats.org/officeDocument/2006/relationships/hyperlink" Target="https://en.wikipedia.org/wiki/Manilkara_zapota" TargetMode="External"/><Relationship Id="rId770" Type="http://schemas.openxmlformats.org/officeDocument/2006/relationships/hyperlink" Target="https://en.wikipedia.org/wiki/Manilkara_zapota" TargetMode="External"/><Relationship Id="rId532" Type="http://schemas.openxmlformats.org/officeDocument/2006/relationships/hyperlink" Target="https://en.wikipedia.org/wiki/Selenicereus_megalanthus" TargetMode="External"/><Relationship Id="rId774" Type="http://schemas.openxmlformats.org/officeDocument/2006/relationships/hyperlink" Target="https://en.wikipedia.org/wiki/Manilkara_zapota" TargetMode="External"/><Relationship Id="rId531" Type="http://schemas.openxmlformats.org/officeDocument/2006/relationships/hyperlink" Target="https://en.wikipedia.org/wiki/Selenicereus_megalanthus" TargetMode="External"/><Relationship Id="rId773" Type="http://schemas.openxmlformats.org/officeDocument/2006/relationships/hyperlink" Target="https://en.wikipedia.org/wiki/Manilkara_zapota" TargetMode="External"/><Relationship Id="rId530" Type="http://schemas.openxmlformats.org/officeDocument/2006/relationships/hyperlink" Target="https://en.wikipedia.org/wiki/Pitaya" TargetMode="External"/><Relationship Id="rId772" Type="http://schemas.openxmlformats.org/officeDocument/2006/relationships/hyperlink" Target="https://en.wikipedia.org/wiki/Manilkara_zapota" TargetMode="External"/><Relationship Id="rId771" Type="http://schemas.openxmlformats.org/officeDocument/2006/relationships/hyperlink" Target="https://en.wikipedia.org/wiki/Manilkara_zapota" TargetMode="External"/><Relationship Id="rId327" Type="http://schemas.openxmlformats.org/officeDocument/2006/relationships/hyperlink" Target="https://en.wikipedia.org/wiki/Averrhoa_carambola" TargetMode="External"/><Relationship Id="rId569" Type="http://schemas.openxmlformats.org/officeDocument/2006/relationships/hyperlink" Target="https://en.wikipedia.org/wiki/Artocarpus_integer" TargetMode="External"/><Relationship Id="rId326" Type="http://schemas.openxmlformats.org/officeDocument/2006/relationships/hyperlink" Target="https://en.wikipedia.org/wiki/Averrhoa_carambola" TargetMode="External"/><Relationship Id="rId568" Type="http://schemas.openxmlformats.org/officeDocument/2006/relationships/hyperlink" Target="https://en.wikipedia.org/wiki/Soursop" TargetMode="External"/><Relationship Id="rId325" Type="http://schemas.openxmlformats.org/officeDocument/2006/relationships/hyperlink" Target="https://en.wikipedia.org/wiki/Pomegranate" TargetMode="External"/><Relationship Id="rId567" Type="http://schemas.openxmlformats.org/officeDocument/2006/relationships/hyperlink" Target="https://en.wikipedia.org/wiki/Jackfruit" TargetMode="External"/><Relationship Id="rId324" Type="http://schemas.openxmlformats.org/officeDocument/2006/relationships/hyperlink" Target="https://en.wikipedia.org/wiki/Pomegranate" TargetMode="External"/><Relationship Id="rId566" Type="http://schemas.openxmlformats.org/officeDocument/2006/relationships/hyperlink" Target="https://en.wikipedia.org/wiki/Jackfruit" TargetMode="External"/><Relationship Id="rId329" Type="http://schemas.openxmlformats.org/officeDocument/2006/relationships/hyperlink" Target="https://en.wikipedia.org/wiki/Inga_edulis" TargetMode="External"/><Relationship Id="rId328" Type="http://schemas.openxmlformats.org/officeDocument/2006/relationships/hyperlink" Target="https://en.wikipedia.org/wiki/Passiflora" TargetMode="External"/><Relationship Id="rId561" Type="http://schemas.openxmlformats.org/officeDocument/2006/relationships/hyperlink" Target="https://en.wikipedia.org/wiki/Avocado" TargetMode="External"/><Relationship Id="rId560" Type="http://schemas.openxmlformats.org/officeDocument/2006/relationships/hyperlink" Target="https://en.wikipedia.org/wiki/Avocado" TargetMode="External"/><Relationship Id="rId323" Type="http://schemas.openxmlformats.org/officeDocument/2006/relationships/hyperlink" Target="https://en.wikipedia.org/wiki/Pomegranate" TargetMode="External"/><Relationship Id="rId565" Type="http://schemas.openxmlformats.org/officeDocument/2006/relationships/hyperlink" Target="https://en.wikipedia.org/wiki/Avocado" TargetMode="External"/><Relationship Id="rId322" Type="http://schemas.openxmlformats.org/officeDocument/2006/relationships/hyperlink" Target="https://en.wikipedia.org/wiki/Pomegranate" TargetMode="External"/><Relationship Id="rId564" Type="http://schemas.openxmlformats.org/officeDocument/2006/relationships/hyperlink" Target="https://en.wikipedia.org/wiki/Jackfruit" TargetMode="External"/><Relationship Id="rId321" Type="http://schemas.openxmlformats.org/officeDocument/2006/relationships/hyperlink" Target="https://en.wikipedia.org/wiki/Chrysophyllum_cainito" TargetMode="External"/><Relationship Id="rId563" Type="http://schemas.openxmlformats.org/officeDocument/2006/relationships/hyperlink" Target="https://en.wikipedia.org/wiki/Avocado" TargetMode="External"/><Relationship Id="rId320" Type="http://schemas.openxmlformats.org/officeDocument/2006/relationships/hyperlink" Target="https://en.wikipedia.org/wiki/Longan" TargetMode="External"/><Relationship Id="rId562" Type="http://schemas.openxmlformats.org/officeDocument/2006/relationships/hyperlink" Target="https://en.wikipedia.org/wiki/Jackfruit" TargetMode="External"/><Relationship Id="rId316" Type="http://schemas.openxmlformats.org/officeDocument/2006/relationships/hyperlink" Target="https://en.wikipedia.org/wiki/Pitaya" TargetMode="External"/><Relationship Id="rId558" Type="http://schemas.openxmlformats.org/officeDocument/2006/relationships/hyperlink" Target="https://en.wikipedia.org/wiki/Avocado" TargetMode="External"/><Relationship Id="rId315" Type="http://schemas.openxmlformats.org/officeDocument/2006/relationships/hyperlink" Target="https://en.wikipedia.org/wiki/Inga_edulis" TargetMode="External"/><Relationship Id="rId557" Type="http://schemas.openxmlformats.org/officeDocument/2006/relationships/hyperlink" Target="https://en.wikipedia.org/wiki/Avocado" TargetMode="External"/><Relationship Id="rId799" Type="http://schemas.openxmlformats.org/officeDocument/2006/relationships/hyperlink" Target="https://en.wikipedia.org/wiki/Dimocarpus_longan" TargetMode="External"/><Relationship Id="rId314" Type="http://schemas.openxmlformats.org/officeDocument/2006/relationships/hyperlink" Target="https://en.wikipedia.org/wiki/Pouteria_campechiana" TargetMode="External"/><Relationship Id="rId556" Type="http://schemas.openxmlformats.org/officeDocument/2006/relationships/hyperlink" Target="https://en.wikipedia.org/wiki/Avocado" TargetMode="External"/><Relationship Id="rId798" Type="http://schemas.openxmlformats.org/officeDocument/2006/relationships/hyperlink" Target="https://en.wikipedia.org/wiki/Dimocarpus_longan" TargetMode="External"/><Relationship Id="rId313" Type="http://schemas.openxmlformats.org/officeDocument/2006/relationships/hyperlink" Target="https://en.wikipedia.org/wiki/Pitaya" TargetMode="External"/><Relationship Id="rId555" Type="http://schemas.openxmlformats.org/officeDocument/2006/relationships/hyperlink" Target="https://en.wikipedia.org/wiki/Avocado" TargetMode="External"/><Relationship Id="rId797" Type="http://schemas.openxmlformats.org/officeDocument/2006/relationships/hyperlink" Target="https://en.wikipedia.org/wiki/Dimocarpus_longan" TargetMode="External"/><Relationship Id="rId319" Type="http://schemas.openxmlformats.org/officeDocument/2006/relationships/hyperlink" Target="https://en.wikipedia.org/wiki/Pitaya" TargetMode="External"/><Relationship Id="rId318" Type="http://schemas.openxmlformats.org/officeDocument/2006/relationships/hyperlink" Target="https://en.wikipedia.org/wiki/Pitaya" TargetMode="External"/><Relationship Id="rId317" Type="http://schemas.openxmlformats.org/officeDocument/2006/relationships/hyperlink" Target="https://en.wikipedia.org/wiki/Pitaya" TargetMode="External"/><Relationship Id="rId559" Type="http://schemas.openxmlformats.org/officeDocument/2006/relationships/hyperlink" Target="https://en.wikipedia.org/wiki/Avocado" TargetMode="External"/><Relationship Id="rId550" Type="http://schemas.openxmlformats.org/officeDocument/2006/relationships/hyperlink" Target="https://en.wikipedia.org/wiki/Avocado" TargetMode="External"/><Relationship Id="rId792" Type="http://schemas.openxmlformats.org/officeDocument/2006/relationships/hyperlink" Target="https://en.wikipedia.org/wiki/Dimocarpus_longan" TargetMode="External"/><Relationship Id="rId791" Type="http://schemas.openxmlformats.org/officeDocument/2006/relationships/hyperlink" Target="https://en.wikipedia.org/wiki/Dimocarpus_longan" TargetMode="External"/><Relationship Id="rId790" Type="http://schemas.openxmlformats.org/officeDocument/2006/relationships/hyperlink" Target="https://en.wikipedia.org/wiki/Dimocarpus_longan" TargetMode="External"/><Relationship Id="rId312" Type="http://schemas.openxmlformats.org/officeDocument/2006/relationships/hyperlink" Target="https://en.wikipedia.org/wiki/Averrhoa_carambola" TargetMode="External"/><Relationship Id="rId554" Type="http://schemas.openxmlformats.org/officeDocument/2006/relationships/hyperlink" Target="https://en.wikipedia.org/wiki/Avocado" TargetMode="External"/><Relationship Id="rId796" Type="http://schemas.openxmlformats.org/officeDocument/2006/relationships/hyperlink" Target="https://en.wikipedia.org/wiki/Dimocarpus_longan" TargetMode="External"/><Relationship Id="rId311" Type="http://schemas.openxmlformats.org/officeDocument/2006/relationships/hyperlink" Target="https://en.wikipedia.org/wiki/Averrhoa_carambola" TargetMode="External"/><Relationship Id="rId553" Type="http://schemas.openxmlformats.org/officeDocument/2006/relationships/hyperlink" Target="https://en.wikipedia.org/wiki/Avocado" TargetMode="External"/><Relationship Id="rId795" Type="http://schemas.openxmlformats.org/officeDocument/2006/relationships/hyperlink" Target="https://en.wikipedia.org/wiki/Dimocarpus_longan" TargetMode="External"/><Relationship Id="rId310" Type="http://schemas.openxmlformats.org/officeDocument/2006/relationships/hyperlink" Target="https://en.wikipedia.org/wiki/Averrhoa_carambola" TargetMode="External"/><Relationship Id="rId552" Type="http://schemas.openxmlformats.org/officeDocument/2006/relationships/hyperlink" Target="https://en.wikipedia.org/wiki/Avocado" TargetMode="External"/><Relationship Id="rId794" Type="http://schemas.openxmlformats.org/officeDocument/2006/relationships/hyperlink" Target="https://en.wikipedia.org/wiki/Dimocarpus_longan" TargetMode="External"/><Relationship Id="rId551" Type="http://schemas.openxmlformats.org/officeDocument/2006/relationships/hyperlink" Target="https://en.wikipedia.org/wiki/Avocado" TargetMode="External"/><Relationship Id="rId793" Type="http://schemas.openxmlformats.org/officeDocument/2006/relationships/hyperlink" Target="https://en.wikipedia.org/wiki/Dimocarpus_longan" TargetMode="External"/><Relationship Id="rId297" Type="http://schemas.openxmlformats.org/officeDocument/2006/relationships/hyperlink" Target="https://en.wikipedia.org/wiki/Pouteria_campechiana" TargetMode="External"/><Relationship Id="rId296" Type="http://schemas.openxmlformats.org/officeDocument/2006/relationships/hyperlink" Target="https://en.wikipedia.org/wiki/Pouteria_campechiana" TargetMode="External"/><Relationship Id="rId295" Type="http://schemas.openxmlformats.org/officeDocument/2006/relationships/hyperlink" Target="https://en.wikipedia.org/wiki/Pouteria_campechiana" TargetMode="External"/><Relationship Id="rId294" Type="http://schemas.openxmlformats.org/officeDocument/2006/relationships/hyperlink" Target="https://en.wikipedia.org/wiki/Diospyros_nigra" TargetMode="External"/><Relationship Id="rId299" Type="http://schemas.openxmlformats.org/officeDocument/2006/relationships/hyperlink" Target="https://en.wikipedia.org/wiki/Pouteria_campechiana" TargetMode="External"/><Relationship Id="rId298" Type="http://schemas.openxmlformats.org/officeDocument/2006/relationships/hyperlink" Target="https://en.wikipedia.org/wiki/Pouteria_campechiana" TargetMode="External"/><Relationship Id="rId271" Type="http://schemas.openxmlformats.org/officeDocument/2006/relationships/hyperlink" Target="https://en.wikipedia.org/wiki/Avocado" TargetMode="External"/><Relationship Id="rId270" Type="http://schemas.openxmlformats.org/officeDocument/2006/relationships/hyperlink" Target="https://en.wikipedia.org/wiki/Diospyros_kaki" TargetMode="External"/><Relationship Id="rId269" Type="http://schemas.openxmlformats.org/officeDocument/2006/relationships/hyperlink" Target="https://en.wikipedia.org/wiki/Avocado" TargetMode="External"/><Relationship Id="rId264" Type="http://schemas.openxmlformats.org/officeDocument/2006/relationships/hyperlink" Target="https://en.wikipedia.org/wiki/Jackfruit" TargetMode="External"/><Relationship Id="rId263" Type="http://schemas.openxmlformats.org/officeDocument/2006/relationships/hyperlink" Target="https://en.wikipedia.org/wiki/Averrhoa_carambola" TargetMode="External"/><Relationship Id="rId262" Type="http://schemas.openxmlformats.org/officeDocument/2006/relationships/hyperlink" Target="https://en.wikipedia.org/wiki/Averrhoa_carambola" TargetMode="External"/><Relationship Id="rId261" Type="http://schemas.openxmlformats.org/officeDocument/2006/relationships/hyperlink" Target="https://en.wikipedia.org/wiki/Averrhoa_carambola" TargetMode="External"/><Relationship Id="rId268" Type="http://schemas.openxmlformats.org/officeDocument/2006/relationships/hyperlink" Target="https://en.wikipedia.org/wiki/Diospyros_nigra" TargetMode="External"/><Relationship Id="rId267" Type="http://schemas.openxmlformats.org/officeDocument/2006/relationships/hyperlink" Target="https://en.wikipedia.org/wiki/Psidium_guajava" TargetMode="External"/><Relationship Id="rId266" Type="http://schemas.openxmlformats.org/officeDocument/2006/relationships/hyperlink" Target="https://en.wikipedia.org/wiki/Cashew" TargetMode="External"/><Relationship Id="rId265" Type="http://schemas.openxmlformats.org/officeDocument/2006/relationships/hyperlink" Target="https://en.wikipedia.org/wiki/Jackfruit" TargetMode="External"/><Relationship Id="rId260" Type="http://schemas.openxmlformats.org/officeDocument/2006/relationships/hyperlink" Target="https://en.wikipedia.org/wiki/Averrhoa_carambola" TargetMode="External"/><Relationship Id="rId259" Type="http://schemas.openxmlformats.org/officeDocument/2006/relationships/hyperlink" Target="https://en.wikipedia.org/wiki/Averrhoa_carambola" TargetMode="External"/><Relationship Id="rId258" Type="http://schemas.openxmlformats.org/officeDocument/2006/relationships/hyperlink" Target="https://en.wikipedia.org/wiki/Averrhoa_carambola" TargetMode="External"/><Relationship Id="rId253" Type="http://schemas.openxmlformats.org/officeDocument/2006/relationships/hyperlink" Target="https://en.wikipedia.org/wiki/Manilkara_zapota" TargetMode="External"/><Relationship Id="rId495" Type="http://schemas.openxmlformats.org/officeDocument/2006/relationships/hyperlink" Target="https://en.wikipedia.org/wiki/Rollinia_deliciosa" TargetMode="External"/><Relationship Id="rId252" Type="http://schemas.openxmlformats.org/officeDocument/2006/relationships/hyperlink" Target="https://en.wikipedia.org/wiki/Bunchosia" TargetMode="External"/><Relationship Id="rId494" Type="http://schemas.openxmlformats.org/officeDocument/2006/relationships/hyperlink" Target="https://en.wikipedia.org/wiki/Annona_reticulata" TargetMode="External"/><Relationship Id="rId251" Type="http://schemas.openxmlformats.org/officeDocument/2006/relationships/hyperlink" Target="https://en.wikipedia.org/wiki/Cashew" TargetMode="External"/><Relationship Id="rId493" Type="http://schemas.openxmlformats.org/officeDocument/2006/relationships/hyperlink" Target="https://en.wikipedia.org/wiki/Annona_reticulata" TargetMode="External"/><Relationship Id="rId250" Type="http://schemas.openxmlformats.org/officeDocument/2006/relationships/hyperlink" Target="https://en.wikipedia.org/wiki/Cashew" TargetMode="External"/><Relationship Id="rId492" Type="http://schemas.openxmlformats.org/officeDocument/2006/relationships/hyperlink" Target="https://en.wikipedia.org/wiki/Annona_reticulata" TargetMode="External"/><Relationship Id="rId257" Type="http://schemas.openxmlformats.org/officeDocument/2006/relationships/hyperlink" Target="https://en.wikipedia.org/wiki/Averrhoa_carambola" TargetMode="External"/><Relationship Id="rId499" Type="http://schemas.openxmlformats.org/officeDocument/2006/relationships/hyperlink" Target="https://en.wikipedia.org/wiki/Annona_reticulata" TargetMode="External"/><Relationship Id="rId256" Type="http://schemas.openxmlformats.org/officeDocument/2006/relationships/hyperlink" Target="https://en.wikipedia.org/wiki/Averrhoa_carambola" TargetMode="External"/><Relationship Id="rId498" Type="http://schemas.openxmlformats.org/officeDocument/2006/relationships/hyperlink" Target="https://en.wikipedia.org/wiki/Myrciaria_glazioviana" TargetMode="External"/><Relationship Id="rId255" Type="http://schemas.openxmlformats.org/officeDocument/2006/relationships/hyperlink" Target="https://en.wikipedia.org/wiki/Averrhoa_carambola" TargetMode="External"/><Relationship Id="rId497" Type="http://schemas.openxmlformats.org/officeDocument/2006/relationships/hyperlink" Target="https://en.wikipedia.org/wiki/Malpighia_emarginata" TargetMode="External"/><Relationship Id="rId254" Type="http://schemas.openxmlformats.org/officeDocument/2006/relationships/hyperlink" Target="https://en.wikipedia.org/wiki/Longan" TargetMode="External"/><Relationship Id="rId496" Type="http://schemas.openxmlformats.org/officeDocument/2006/relationships/hyperlink" Target="https://en.wikipedia.org/wiki/Soursop" TargetMode="External"/><Relationship Id="rId293" Type="http://schemas.openxmlformats.org/officeDocument/2006/relationships/hyperlink" Target="https://en.wikipedia.org/wiki/Diospyros_nigra" TargetMode="External"/><Relationship Id="rId292" Type="http://schemas.openxmlformats.org/officeDocument/2006/relationships/hyperlink" Target="https://en.wikipedia.org/wiki/Diospyros_nigra" TargetMode="External"/><Relationship Id="rId291" Type="http://schemas.openxmlformats.org/officeDocument/2006/relationships/hyperlink" Target="https://en.wikipedia.org/wiki/Diospyros_nigra" TargetMode="External"/><Relationship Id="rId290" Type="http://schemas.openxmlformats.org/officeDocument/2006/relationships/hyperlink" Target="https://en.wikipedia.org/wiki/Diospyros_nigra" TargetMode="External"/><Relationship Id="rId286" Type="http://schemas.openxmlformats.org/officeDocument/2006/relationships/hyperlink" Target="https://en.wikipedia.org/wiki/Pitaya" TargetMode="External"/><Relationship Id="rId285" Type="http://schemas.openxmlformats.org/officeDocument/2006/relationships/hyperlink" Target="https://en.wikipedia.org/wiki/Pitaya" TargetMode="External"/><Relationship Id="rId284" Type="http://schemas.openxmlformats.org/officeDocument/2006/relationships/hyperlink" Target="https://en.wikipedia.org/wiki/Avocado" TargetMode="External"/><Relationship Id="rId283" Type="http://schemas.openxmlformats.org/officeDocument/2006/relationships/hyperlink" Target="https://en.wikipedia.org/wiki/Pitaya" TargetMode="External"/><Relationship Id="rId289" Type="http://schemas.openxmlformats.org/officeDocument/2006/relationships/hyperlink" Target="https://en.wikipedia.org/wiki/Diospyros_nigra" TargetMode="External"/><Relationship Id="rId288" Type="http://schemas.openxmlformats.org/officeDocument/2006/relationships/hyperlink" Target="https://en.wikipedia.org/wiki/Avocado" TargetMode="External"/><Relationship Id="rId287" Type="http://schemas.openxmlformats.org/officeDocument/2006/relationships/hyperlink" Target="https://en.wikipedia.org/wiki/Pouteria_campechiana" TargetMode="External"/><Relationship Id="rId282" Type="http://schemas.openxmlformats.org/officeDocument/2006/relationships/hyperlink" Target="https://en.wikipedia.org/wiki/Pouteria_campechiana" TargetMode="External"/><Relationship Id="rId281" Type="http://schemas.openxmlformats.org/officeDocument/2006/relationships/hyperlink" Target="https://en.wikipedia.org/wiki/Pouteria_campechiana" TargetMode="External"/><Relationship Id="rId280" Type="http://schemas.openxmlformats.org/officeDocument/2006/relationships/hyperlink" Target="https://en.wikipedia.org/wiki/Pitaya" TargetMode="External"/><Relationship Id="rId275" Type="http://schemas.openxmlformats.org/officeDocument/2006/relationships/hyperlink" Target="https://en.wikipedia.org/wiki/Psidium_guajava" TargetMode="External"/><Relationship Id="rId274" Type="http://schemas.openxmlformats.org/officeDocument/2006/relationships/hyperlink" Target="https://en.wikipedia.org/wiki/Pitaya" TargetMode="External"/><Relationship Id="rId273" Type="http://schemas.openxmlformats.org/officeDocument/2006/relationships/hyperlink" Target="https://en.wikipedia.org/wiki/Avocado" TargetMode="External"/><Relationship Id="rId272" Type="http://schemas.openxmlformats.org/officeDocument/2006/relationships/hyperlink" Target="https://en.wikipedia.org/wiki/Avocado" TargetMode="External"/><Relationship Id="rId279" Type="http://schemas.openxmlformats.org/officeDocument/2006/relationships/hyperlink" Target="https://en.wikipedia.org/wiki/Pitaya" TargetMode="External"/><Relationship Id="rId278" Type="http://schemas.openxmlformats.org/officeDocument/2006/relationships/hyperlink" Target="https://en.wikipedia.org/wiki/Avocado" TargetMode="External"/><Relationship Id="rId277" Type="http://schemas.openxmlformats.org/officeDocument/2006/relationships/hyperlink" Target="https://en.wikipedia.org/wiki/Pitaya" TargetMode="External"/><Relationship Id="rId276" Type="http://schemas.openxmlformats.org/officeDocument/2006/relationships/hyperlink" Target="https://en.wikipedia.org/wiki/Pitaya" TargetMode="External"/><Relationship Id="rId907" Type="http://schemas.openxmlformats.org/officeDocument/2006/relationships/hyperlink" Target="https://en.wikipedia.org/wiki/Manilkara_zapota" TargetMode="External"/><Relationship Id="rId906" Type="http://schemas.openxmlformats.org/officeDocument/2006/relationships/hyperlink" Target="https://en.wikipedia.org/wiki/Manilkara_zapota" TargetMode="External"/><Relationship Id="rId905" Type="http://schemas.openxmlformats.org/officeDocument/2006/relationships/hyperlink" Target="https://en.wikipedia.org/wiki/Manilkara_zapota" TargetMode="External"/><Relationship Id="rId904" Type="http://schemas.openxmlformats.org/officeDocument/2006/relationships/hyperlink" Target="https://en.wikipedia.org/wiki/Manilkara_zapota" TargetMode="External"/><Relationship Id="rId909" Type="http://schemas.openxmlformats.org/officeDocument/2006/relationships/hyperlink" Target="https://en.wikipedia.org/wiki/Eugenia_uniflora" TargetMode="External"/><Relationship Id="rId908" Type="http://schemas.openxmlformats.org/officeDocument/2006/relationships/hyperlink" Target="https://en.wikipedia.org/wiki/Eugenia_uniflora" TargetMode="External"/><Relationship Id="rId903" Type="http://schemas.openxmlformats.org/officeDocument/2006/relationships/hyperlink" Target="https://en.wikipedia.org/wiki/Manilkara_zapota" TargetMode="External"/><Relationship Id="rId902" Type="http://schemas.openxmlformats.org/officeDocument/2006/relationships/hyperlink" Target="https://en.wikipedia.org/wiki/Manilkara_zapota" TargetMode="External"/><Relationship Id="rId901" Type="http://schemas.openxmlformats.org/officeDocument/2006/relationships/hyperlink" Target="https://en.wikipedia.org/wiki/Manilkara_zapota" TargetMode="External"/><Relationship Id="rId900" Type="http://schemas.openxmlformats.org/officeDocument/2006/relationships/hyperlink" Target="https://en.wikipedia.org/wiki/Jackfruit" TargetMode="External"/><Relationship Id="rId929" Type="http://schemas.openxmlformats.org/officeDocument/2006/relationships/hyperlink" Target="https://en.wikipedia.org/wiki/Plinia_edulis" TargetMode="External"/><Relationship Id="rId928" Type="http://schemas.openxmlformats.org/officeDocument/2006/relationships/hyperlink" Target="https://en.wikipedia.org/wiki/Plinia_edulis" TargetMode="External"/><Relationship Id="rId927" Type="http://schemas.openxmlformats.org/officeDocument/2006/relationships/hyperlink" Target="https://en.wikipedia.org/wiki/Grumichama" TargetMode="External"/><Relationship Id="rId926" Type="http://schemas.openxmlformats.org/officeDocument/2006/relationships/hyperlink" Target="https://en.wikipedia.org/wiki/Avocado" TargetMode="External"/><Relationship Id="rId921" Type="http://schemas.openxmlformats.org/officeDocument/2006/relationships/hyperlink" Target="https://toptropicals.com/catalog/uid/pouteria_hypoglauca.htm" TargetMode="External"/><Relationship Id="rId920" Type="http://schemas.openxmlformats.org/officeDocument/2006/relationships/hyperlink" Target="https://toptropicals.com/catalog/uid/pouteria_hypoglauca.htm" TargetMode="External"/><Relationship Id="rId925" Type="http://schemas.openxmlformats.org/officeDocument/2006/relationships/hyperlink" Target="https://en.wikipedia.org/wiki/Fig" TargetMode="External"/><Relationship Id="rId924" Type="http://schemas.openxmlformats.org/officeDocument/2006/relationships/hyperlink" Target="https://en.wikipedia.org/wiki/Synsepalum_dulcificum" TargetMode="External"/><Relationship Id="rId923" Type="http://schemas.openxmlformats.org/officeDocument/2006/relationships/hyperlink" Target="https://en.wikipedia.org/wiki/Mangifera_indica" TargetMode="External"/><Relationship Id="rId922" Type="http://schemas.openxmlformats.org/officeDocument/2006/relationships/hyperlink" Target="https://toptropicals.com/catalog/uid/pouteria_hypoglauca.htm" TargetMode="External"/><Relationship Id="rId918" Type="http://schemas.openxmlformats.org/officeDocument/2006/relationships/hyperlink" Target="https://en.wikipedia.org/wiki/Diospyros_kaki" TargetMode="External"/><Relationship Id="rId917" Type="http://schemas.openxmlformats.org/officeDocument/2006/relationships/hyperlink" Target="https://en.wikipedia.org/wiki/Jackfruit" TargetMode="External"/><Relationship Id="rId916" Type="http://schemas.openxmlformats.org/officeDocument/2006/relationships/hyperlink" Target="https://en.wikipedia.org/wiki/Jackfruit" TargetMode="External"/><Relationship Id="rId915" Type="http://schemas.openxmlformats.org/officeDocument/2006/relationships/hyperlink" Target="https://en.wikipedia.org/wiki/Jackfruit" TargetMode="External"/><Relationship Id="rId919" Type="http://schemas.openxmlformats.org/officeDocument/2006/relationships/hyperlink" Target="https://toptropicals.com/catalog/uid/pouteria_hypoglauca.htm" TargetMode="External"/><Relationship Id="rId910" Type="http://schemas.openxmlformats.org/officeDocument/2006/relationships/hyperlink" Target="https://en.wikipedia.org/wiki/Avocado" TargetMode="External"/><Relationship Id="rId914" Type="http://schemas.openxmlformats.org/officeDocument/2006/relationships/hyperlink" Target="https://en.wikipedia.org/wiki/Pouteria_sapota" TargetMode="External"/><Relationship Id="rId913" Type="http://schemas.openxmlformats.org/officeDocument/2006/relationships/hyperlink" Target="https://larafarmsmiami.com/products/grafted-avocado-tree-3-gallon" TargetMode="External"/><Relationship Id="rId912" Type="http://schemas.openxmlformats.org/officeDocument/2006/relationships/hyperlink" Target="https://en.wikipedia.org/wiki/Avocado" TargetMode="External"/><Relationship Id="rId911" Type="http://schemas.openxmlformats.org/officeDocument/2006/relationships/hyperlink" Target="https://en.wikipedia.org/wiki/Avocado" TargetMode="External"/><Relationship Id="rId629" Type="http://schemas.openxmlformats.org/officeDocument/2006/relationships/hyperlink" Target="https://en.wikipedia.org/wiki/Soursop" TargetMode="External"/><Relationship Id="rId624" Type="http://schemas.openxmlformats.org/officeDocument/2006/relationships/hyperlink" Target="https://en.wikipedia.org/wiki/Soursop" TargetMode="External"/><Relationship Id="rId866" Type="http://schemas.openxmlformats.org/officeDocument/2006/relationships/hyperlink" Target="https://en.wikipedia.org/wiki/Avocado" TargetMode="External"/><Relationship Id="rId623" Type="http://schemas.openxmlformats.org/officeDocument/2006/relationships/hyperlink" Target="https://en.wikipedia.org/wiki/Soursop" TargetMode="External"/><Relationship Id="rId865" Type="http://schemas.openxmlformats.org/officeDocument/2006/relationships/hyperlink" Target="https://en.wikipedia.org/wiki/Avocado" TargetMode="External"/><Relationship Id="rId622" Type="http://schemas.openxmlformats.org/officeDocument/2006/relationships/hyperlink" Target="https://en.wikipedia.org/wiki/Soursop" TargetMode="External"/><Relationship Id="rId864" Type="http://schemas.openxmlformats.org/officeDocument/2006/relationships/hyperlink" Target="https://en.wikipedia.org/wiki/Avocado" TargetMode="External"/><Relationship Id="rId621" Type="http://schemas.openxmlformats.org/officeDocument/2006/relationships/hyperlink" Target="https://en.wikipedia.org/wiki/Soursop" TargetMode="External"/><Relationship Id="rId863" Type="http://schemas.openxmlformats.org/officeDocument/2006/relationships/hyperlink" Target="https://en.wikipedia.org/wiki/Avocado" TargetMode="External"/><Relationship Id="rId628" Type="http://schemas.openxmlformats.org/officeDocument/2006/relationships/hyperlink" Target="https://en.wikipedia.org/wiki/Soursop" TargetMode="External"/><Relationship Id="rId627" Type="http://schemas.openxmlformats.org/officeDocument/2006/relationships/hyperlink" Target="https://en.wikipedia.org/wiki/Soursop" TargetMode="External"/><Relationship Id="rId869" Type="http://schemas.openxmlformats.org/officeDocument/2006/relationships/hyperlink" Target="https://en.wikipedia.org/wiki/Avocado" TargetMode="External"/><Relationship Id="rId626" Type="http://schemas.openxmlformats.org/officeDocument/2006/relationships/hyperlink" Target="https://en.wikipedia.org/wiki/Soursop" TargetMode="External"/><Relationship Id="rId868" Type="http://schemas.openxmlformats.org/officeDocument/2006/relationships/hyperlink" Target="https://en.wikipedia.org/wiki/Avocado" TargetMode="External"/><Relationship Id="rId625" Type="http://schemas.openxmlformats.org/officeDocument/2006/relationships/hyperlink" Target="https://en.wikipedia.org/wiki/Soursop" TargetMode="External"/><Relationship Id="rId867" Type="http://schemas.openxmlformats.org/officeDocument/2006/relationships/hyperlink" Target="https://en.wikipedia.org/wiki/Avocado" TargetMode="External"/><Relationship Id="rId620" Type="http://schemas.openxmlformats.org/officeDocument/2006/relationships/hyperlink" Target="https://en.wikipedia.org/wiki/Soursop" TargetMode="External"/><Relationship Id="rId862" Type="http://schemas.openxmlformats.org/officeDocument/2006/relationships/hyperlink" Target="https://en.wikipedia.org/wiki/Avocado" TargetMode="External"/><Relationship Id="rId861" Type="http://schemas.openxmlformats.org/officeDocument/2006/relationships/hyperlink" Target="https://en.wikipedia.org/wiki/Avocado" TargetMode="External"/><Relationship Id="rId860" Type="http://schemas.openxmlformats.org/officeDocument/2006/relationships/hyperlink" Target="https://en.wikipedia.org/wiki/Moringa_oleifera" TargetMode="External"/><Relationship Id="rId619" Type="http://schemas.openxmlformats.org/officeDocument/2006/relationships/hyperlink" Target="https://en.wikipedia.org/wiki/Soursop" TargetMode="External"/><Relationship Id="rId618" Type="http://schemas.openxmlformats.org/officeDocument/2006/relationships/hyperlink" Target="https://en.wikipedia.org/wiki/Soursop" TargetMode="External"/><Relationship Id="rId613" Type="http://schemas.openxmlformats.org/officeDocument/2006/relationships/hyperlink" Target="https://en.wikipedia.org/wiki/Soursop" TargetMode="External"/><Relationship Id="rId855" Type="http://schemas.openxmlformats.org/officeDocument/2006/relationships/hyperlink" Target="https://en.wikipedia.org/wiki/Mangosteen" TargetMode="External"/><Relationship Id="rId612" Type="http://schemas.openxmlformats.org/officeDocument/2006/relationships/hyperlink" Target="https://en.wikipedia.org/wiki/Soursop" TargetMode="External"/><Relationship Id="rId854" Type="http://schemas.openxmlformats.org/officeDocument/2006/relationships/hyperlink" Target="https://en.wikipedia.org/wiki/Mangosteen" TargetMode="External"/><Relationship Id="rId611" Type="http://schemas.openxmlformats.org/officeDocument/2006/relationships/hyperlink" Target="https://en.wikipedia.org/wiki/Soursop" TargetMode="External"/><Relationship Id="rId853" Type="http://schemas.openxmlformats.org/officeDocument/2006/relationships/hyperlink" Target="https://en.wikipedia.org/wiki/Eugenia_uniflora" TargetMode="External"/><Relationship Id="rId610" Type="http://schemas.openxmlformats.org/officeDocument/2006/relationships/hyperlink" Target="https://en.wikipedia.org/wiki/Soursop" TargetMode="External"/><Relationship Id="rId852" Type="http://schemas.openxmlformats.org/officeDocument/2006/relationships/hyperlink" Target="https://en.wikipedia.org/wiki/Eugenia_uniflora" TargetMode="External"/><Relationship Id="rId617" Type="http://schemas.openxmlformats.org/officeDocument/2006/relationships/hyperlink" Target="https://en.wikipedia.org/wiki/Soursop" TargetMode="External"/><Relationship Id="rId859" Type="http://schemas.openxmlformats.org/officeDocument/2006/relationships/hyperlink" Target="https://en.wikipedia.org/wiki/Mangifera_indica" TargetMode="External"/><Relationship Id="rId616" Type="http://schemas.openxmlformats.org/officeDocument/2006/relationships/hyperlink" Target="https://en.wikipedia.org/wiki/Soursop" TargetMode="External"/><Relationship Id="rId858" Type="http://schemas.openxmlformats.org/officeDocument/2006/relationships/hyperlink" Target="https://en.wikipedia.org/wiki/Cinnamon" TargetMode="External"/><Relationship Id="rId615" Type="http://schemas.openxmlformats.org/officeDocument/2006/relationships/hyperlink" Target="https://en.wikipedia.org/wiki/Soursop" TargetMode="External"/><Relationship Id="rId857" Type="http://schemas.openxmlformats.org/officeDocument/2006/relationships/hyperlink" Target="https://en.wikipedia.org/wiki/Avocado" TargetMode="External"/><Relationship Id="rId614" Type="http://schemas.openxmlformats.org/officeDocument/2006/relationships/hyperlink" Target="https://en.wikipedia.org/wiki/Soursop" TargetMode="External"/><Relationship Id="rId856" Type="http://schemas.openxmlformats.org/officeDocument/2006/relationships/hyperlink" Target="https://en.wikipedia.org/wiki/Mangosteen" TargetMode="External"/><Relationship Id="rId851" Type="http://schemas.openxmlformats.org/officeDocument/2006/relationships/hyperlink" Target="https://en.wikipedia.org/wiki/Eugenia_uniflora" TargetMode="External"/><Relationship Id="rId850" Type="http://schemas.openxmlformats.org/officeDocument/2006/relationships/hyperlink" Target="https://en.wikipedia.org/wiki/Eugenia_uniflora" TargetMode="External"/><Relationship Id="rId409" Type="http://schemas.openxmlformats.org/officeDocument/2006/relationships/hyperlink" Target="https://en.wikipedia.org/wiki/Jackfruit" TargetMode="External"/><Relationship Id="rId404" Type="http://schemas.openxmlformats.org/officeDocument/2006/relationships/hyperlink" Target="https://www.bambooland.com.au/bambusa-textilis-var-gracilis" TargetMode="External"/><Relationship Id="rId646" Type="http://schemas.openxmlformats.org/officeDocument/2006/relationships/hyperlink" Target="https://en.wikipedia.org/wiki/Soursop" TargetMode="External"/><Relationship Id="rId888" Type="http://schemas.openxmlformats.org/officeDocument/2006/relationships/hyperlink" Target="https://en.wikipedia.org/wiki/Avocado" TargetMode="External"/><Relationship Id="rId403" Type="http://schemas.openxmlformats.org/officeDocument/2006/relationships/hyperlink" Target="https://en.wikipedia.org/wiki/Mammea_americana" TargetMode="External"/><Relationship Id="rId645" Type="http://schemas.openxmlformats.org/officeDocument/2006/relationships/hyperlink" Target="https://en.wikipedia.org/wiki/Soursop" TargetMode="External"/><Relationship Id="rId887" Type="http://schemas.openxmlformats.org/officeDocument/2006/relationships/hyperlink" Target="https://en.wikipedia.org/wiki/Avocado" TargetMode="External"/><Relationship Id="rId402" Type="http://schemas.openxmlformats.org/officeDocument/2006/relationships/hyperlink" Target="https://en.wikipedia.org/wiki/Pouteria_campechiana" TargetMode="External"/><Relationship Id="rId644" Type="http://schemas.openxmlformats.org/officeDocument/2006/relationships/hyperlink" Target="https://en.wikipedia.org/wiki/Soursop" TargetMode="External"/><Relationship Id="rId886" Type="http://schemas.openxmlformats.org/officeDocument/2006/relationships/hyperlink" Target="https://en.wikipedia.org/wiki/Avocado" TargetMode="External"/><Relationship Id="rId401" Type="http://schemas.openxmlformats.org/officeDocument/2006/relationships/hyperlink" Target="https://en.wikipedia.org/wiki/Manilkara_zapota" TargetMode="External"/><Relationship Id="rId643" Type="http://schemas.openxmlformats.org/officeDocument/2006/relationships/hyperlink" Target="https://en.wikipedia.org/wiki/Soursop" TargetMode="External"/><Relationship Id="rId885" Type="http://schemas.openxmlformats.org/officeDocument/2006/relationships/hyperlink" Target="https://en.wikipedia.org/wiki/Avocado" TargetMode="External"/><Relationship Id="rId408" Type="http://schemas.openxmlformats.org/officeDocument/2006/relationships/hyperlink" Target="https://en.wikipedia.org/wiki/Jackfruit" TargetMode="External"/><Relationship Id="rId407" Type="http://schemas.openxmlformats.org/officeDocument/2006/relationships/hyperlink" Target="https://tropicalbamboo.com/find_bamboo.asp" TargetMode="External"/><Relationship Id="rId649" Type="http://schemas.openxmlformats.org/officeDocument/2006/relationships/hyperlink" Target="https://en.wikipedia.org/wiki/Soursop" TargetMode="External"/><Relationship Id="rId406" Type="http://schemas.openxmlformats.org/officeDocument/2006/relationships/hyperlink" Target="https://en.wikipedia.org/wiki/Mammea_americana" TargetMode="External"/><Relationship Id="rId648" Type="http://schemas.openxmlformats.org/officeDocument/2006/relationships/hyperlink" Target="https://en.wikipedia.org/wiki/Soursop" TargetMode="External"/><Relationship Id="rId405" Type="http://schemas.openxmlformats.org/officeDocument/2006/relationships/hyperlink" Target="https://tropicalbamboo.com/find_bamboo.asp" TargetMode="External"/><Relationship Id="rId647" Type="http://schemas.openxmlformats.org/officeDocument/2006/relationships/hyperlink" Target="https://en.wikipedia.org/wiki/Soursop" TargetMode="External"/><Relationship Id="rId889" Type="http://schemas.openxmlformats.org/officeDocument/2006/relationships/hyperlink" Target="https://en.wikipedia.org/wiki/Avocado" TargetMode="External"/><Relationship Id="rId880" Type="http://schemas.openxmlformats.org/officeDocument/2006/relationships/hyperlink" Target="https://en.wikipedia.org/wiki/Mammea_americana" TargetMode="External"/><Relationship Id="rId400" Type="http://schemas.openxmlformats.org/officeDocument/2006/relationships/hyperlink" Target="https://en.wikipedia.org/wiki/Avocado" TargetMode="External"/><Relationship Id="rId642" Type="http://schemas.openxmlformats.org/officeDocument/2006/relationships/hyperlink" Target="https://en.wikipedia.org/wiki/Soursop" TargetMode="External"/><Relationship Id="rId884" Type="http://schemas.openxmlformats.org/officeDocument/2006/relationships/hyperlink" Target="https://en.wikipedia.org/wiki/Avocado" TargetMode="External"/><Relationship Id="rId641" Type="http://schemas.openxmlformats.org/officeDocument/2006/relationships/hyperlink" Target="https://en.wikipedia.org/wiki/Soursop" TargetMode="External"/><Relationship Id="rId883" Type="http://schemas.openxmlformats.org/officeDocument/2006/relationships/hyperlink" Target="https://en.wikipedia.org/wiki/Avocado" TargetMode="External"/><Relationship Id="rId640" Type="http://schemas.openxmlformats.org/officeDocument/2006/relationships/hyperlink" Target="https://en.wikipedia.org/wiki/Soursop" TargetMode="External"/><Relationship Id="rId882" Type="http://schemas.openxmlformats.org/officeDocument/2006/relationships/hyperlink" Target="https://fr.wikipedia.org/wiki/Eriobotrya_japonica" TargetMode="External"/><Relationship Id="rId881" Type="http://schemas.openxmlformats.org/officeDocument/2006/relationships/hyperlink" Target="https://en.wikipedia.org/wiki/Mammea_americana" TargetMode="External"/><Relationship Id="rId635" Type="http://schemas.openxmlformats.org/officeDocument/2006/relationships/hyperlink" Target="https://en.wikipedia.org/wiki/Soursop" TargetMode="External"/><Relationship Id="rId877" Type="http://schemas.openxmlformats.org/officeDocument/2006/relationships/hyperlink" Target="https://en.wikipedia.org/wiki/Jackfruit" TargetMode="External"/><Relationship Id="rId634" Type="http://schemas.openxmlformats.org/officeDocument/2006/relationships/hyperlink" Target="https://en.wikipedia.org/wiki/Soursop" TargetMode="External"/><Relationship Id="rId876" Type="http://schemas.openxmlformats.org/officeDocument/2006/relationships/hyperlink" Target="https://en.wikipedia.org/wiki/Avocado" TargetMode="External"/><Relationship Id="rId633" Type="http://schemas.openxmlformats.org/officeDocument/2006/relationships/hyperlink" Target="https://en.wikipedia.org/wiki/Soursop" TargetMode="External"/><Relationship Id="rId875" Type="http://schemas.openxmlformats.org/officeDocument/2006/relationships/hyperlink" Target="https://en.wikipedia.org/wiki/Avocado" TargetMode="External"/><Relationship Id="rId632" Type="http://schemas.openxmlformats.org/officeDocument/2006/relationships/hyperlink" Target="https://en.wikipedia.org/wiki/Soursop" TargetMode="External"/><Relationship Id="rId874" Type="http://schemas.openxmlformats.org/officeDocument/2006/relationships/hyperlink" Target="https://en.wikipedia.org/wiki/Avocado" TargetMode="External"/><Relationship Id="rId639" Type="http://schemas.openxmlformats.org/officeDocument/2006/relationships/hyperlink" Target="https://en.wikipedia.org/wiki/Soursop" TargetMode="External"/><Relationship Id="rId638" Type="http://schemas.openxmlformats.org/officeDocument/2006/relationships/hyperlink" Target="https://en.wikipedia.org/wiki/Soursop" TargetMode="External"/><Relationship Id="rId637" Type="http://schemas.openxmlformats.org/officeDocument/2006/relationships/hyperlink" Target="https://en.wikipedia.org/wiki/Soursop" TargetMode="External"/><Relationship Id="rId879" Type="http://schemas.openxmlformats.org/officeDocument/2006/relationships/hyperlink" Target="https://en.wikipedia.org/wiki/Jackfruit" TargetMode="External"/><Relationship Id="rId636" Type="http://schemas.openxmlformats.org/officeDocument/2006/relationships/hyperlink" Target="https://en.wikipedia.org/wiki/Soursop" TargetMode="External"/><Relationship Id="rId878" Type="http://schemas.openxmlformats.org/officeDocument/2006/relationships/hyperlink" Target="https://en.wikipedia.org/wiki/Jackfruit" TargetMode="External"/><Relationship Id="rId631" Type="http://schemas.openxmlformats.org/officeDocument/2006/relationships/hyperlink" Target="https://en.wikipedia.org/wiki/Soursop" TargetMode="External"/><Relationship Id="rId873" Type="http://schemas.openxmlformats.org/officeDocument/2006/relationships/hyperlink" Target="https://en.wikipedia.org/wiki/Avocado" TargetMode="External"/><Relationship Id="rId630" Type="http://schemas.openxmlformats.org/officeDocument/2006/relationships/hyperlink" Target="https://en.wikipedia.org/wiki/Soursop" TargetMode="External"/><Relationship Id="rId872" Type="http://schemas.openxmlformats.org/officeDocument/2006/relationships/hyperlink" Target="https://en.wikipedia.org/wiki/Avocado" TargetMode="External"/><Relationship Id="rId871" Type="http://schemas.openxmlformats.org/officeDocument/2006/relationships/hyperlink" Target="https://en.wikipedia.org/wiki/Avocado" TargetMode="External"/><Relationship Id="rId870" Type="http://schemas.openxmlformats.org/officeDocument/2006/relationships/hyperlink" Target="https://en.wikipedia.org/wiki/Avocado" TargetMode="External"/><Relationship Id="rId829" Type="http://schemas.openxmlformats.org/officeDocument/2006/relationships/hyperlink" Target="https://en.wikipedia.org/wiki/Eugenia_uniflora" TargetMode="External"/><Relationship Id="rId828" Type="http://schemas.openxmlformats.org/officeDocument/2006/relationships/hyperlink" Target="https://en.wikipedia.org/wiki/Eugenia_uniflora" TargetMode="External"/><Relationship Id="rId827" Type="http://schemas.openxmlformats.org/officeDocument/2006/relationships/hyperlink" Target="https://en.wikipedia.org/wiki/Eugenia_uniflora" TargetMode="External"/><Relationship Id="rId822" Type="http://schemas.openxmlformats.org/officeDocument/2006/relationships/hyperlink" Target="https://en.wikipedia.org/wiki/Eugenia_uniflora" TargetMode="External"/><Relationship Id="rId821" Type="http://schemas.openxmlformats.org/officeDocument/2006/relationships/hyperlink" Target="https://en.wikipedia.org/wiki/Eugenia_uniflora" TargetMode="External"/><Relationship Id="rId820" Type="http://schemas.openxmlformats.org/officeDocument/2006/relationships/hyperlink" Target="https://en.wikipedia.org/wiki/Salacca_zalacca" TargetMode="External"/><Relationship Id="rId826" Type="http://schemas.openxmlformats.org/officeDocument/2006/relationships/hyperlink" Target="https://en.wikipedia.org/wiki/Eugenia_uniflora" TargetMode="External"/><Relationship Id="rId825" Type="http://schemas.openxmlformats.org/officeDocument/2006/relationships/hyperlink" Target="https://en.wikipedia.org/wiki/Eugenia_uniflora" TargetMode="External"/><Relationship Id="rId824" Type="http://schemas.openxmlformats.org/officeDocument/2006/relationships/hyperlink" Target="https://en.wikipedia.org/wiki/Eugenia_uniflora" TargetMode="External"/><Relationship Id="rId823" Type="http://schemas.openxmlformats.org/officeDocument/2006/relationships/hyperlink" Target="https://en.wikipedia.org/wiki/Eugenia_uniflora" TargetMode="External"/><Relationship Id="rId819" Type="http://schemas.openxmlformats.org/officeDocument/2006/relationships/hyperlink" Target="https://en.wikipedia.org/wiki/Dimocarpus_longan" TargetMode="External"/><Relationship Id="rId818" Type="http://schemas.openxmlformats.org/officeDocument/2006/relationships/hyperlink" Target="https://en.wikipedia.org/wiki/Pouteria_caimito" TargetMode="External"/><Relationship Id="rId817" Type="http://schemas.openxmlformats.org/officeDocument/2006/relationships/hyperlink" Target="https://en.wikipedia.org/wiki/Pouteria_caimito" TargetMode="External"/><Relationship Id="rId816" Type="http://schemas.openxmlformats.org/officeDocument/2006/relationships/hyperlink" Target="https://en.wikipedia.org/wiki/Nephelium_mutabile" TargetMode="External"/><Relationship Id="rId811" Type="http://schemas.openxmlformats.org/officeDocument/2006/relationships/hyperlink" Target="https://en.wikipedia.org/wiki/Persea_americana" TargetMode="External"/><Relationship Id="rId810" Type="http://schemas.openxmlformats.org/officeDocument/2006/relationships/hyperlink" Target="https://en.wikipedia.org/wiki/Persea_americana" TargetMode="External"/><Relationship Id="rId815" Type="http://schemas.openxmlformats.org/officeDocument/2006/relationships/hyperlink" Target="https://en.wikipedia.org/wiki/Nephelium_mutabile" TargetMode="External"/><Relationship Id="rId814" Type="http://schemas.openxmlformats.org/officeDocument/2006/relationships/hyperlink" Target="https://en.wikipedia.org/wiki/Nephelium_mutabile" TargetMode="External"/><Relationship Id="rId813" Type="http://schemas.openxmlformats.org/officeDocument/2006/relationships/hyperlink" Target="https://en.wikipedia.org/wiki/Nephelium_mutabile" TargetMode="External"/><Relationship Id="rId812" Type="http://schemas.openxmlformats.org/officeDocument/2006/relationships/hyperlink" Target="https://en.wikipedia.org/wiki/Persea_americana" TargetMode="External"/><Relationship Id="rId609" Type="http://schemas.openxmlformats.org/officeDocument/2006/relationships/hyperlink" Target="https://en.wikipedia.org/wiki/Soursop" TargetMode="External"/><Relationship Id="rId608" Type="http://schemas.openxmlformats.org/officeDocument/2006/relationships/hyperlink" Target="https://en.wikipedia.org/wiki/Soursop" TargetMode="External"/><Relationship Id="rId607" Type="http://schemas.openxmlformats.org/officeDocument/2006/relationships/hyperlink" Target="https://en.wikipedia.org/wiki/Soursop" TargetMode="External"/><Relationship Id="rId849" Type="http://schemas.openxmlformats.org/officeDocument/2006/relationships/hyperlink" Target="https://en.wikipedia.org/wiki/Eugenia_uniflora" TargetMode="External"/><Relationship Id="rId602" Type="http://schemas.openxmlformats.org/officeDocument/2006/relationships/hyperlink" Target="https://en.wikipedia.org/wiki/Acaciella_angustissima" TargetMode="External"/><Relationship Id="rId844" Type="http://schemas.openxmlformats.org/officeDocument/2006/relationships/hyperlink" Target="https://en.wikipedia.org/wiki/Eugenia_uniflora" TargetMode="External"/><Relationship Id="rId601" Type="http://schemas.openxmlformats.org/officeDocument/2006/relationships/hyperlink" Target="https://en.wikipedia.org/wiki/Inga_edulis" TargetMode="External"/><Relationship Id="rId843" Type="http://schemas.openxmlformats.org/officeDocument/2006/relationships/hyperlink" Target="https://en.wikipedia.org/wiki/Eugenia_uniflora" TargetMode="External"/><Relationship Id="rId600" Type="http://schemas.openxmlformats.org/officeDocument/2006/relationships/hyperlink" Target="https://en.wikipedia.org/wiki/Inga_edulis" TargetMode="External"/><Relationship Id="rId842" Type="http://schemas.openxmlformats.org/officeDocument/2006/relationships/hyperlink" Target="https://en.wikipedia.org/wiki/Eugenia_uniflora" TargetMode="External"/><Relationship Id="rId841" Type="http://schemas.openxmlformats.org/officeDocument/2006/relationships/hyperlink" Target="https://en.wikipedia.org/wiki/Eugenia_uniflora" TargetMode="External"/><Relationship Id="rId606" Type="http://schemas.openxmlformats.org/officeDocument/2006/relationships/hyperlink" Target="https://en.wikipedia.org/wiki/Soursop" TargetMode="External"/><Relationship Id="rId848" Type="http://schemas.openxmlformats.org/officeDocument/2006/relationships/hyperlink" Target="https://en.wikipedia.org/wiki/Eugenia_uniflora" TargetMode="External"/><Relationship Id="rId605" Type="http://schemas.openxmlformats.org/officeDocument/2006/relationships/hyperlink" Target="https://en.wikipedia.org/wiki/Moringa_oleifera" TargetMode="External"/><Relationship Id="rId847" Type="http://schemas.openxmlformats.org/officeDocument/2006/relationships/hyperlink" Target="https://en.wikipedia.org/wiki/Eugenia_uniflora" TargetMode="External"/><Relationship Id="rId604" Type="http://schemas.openxmlformats.org/officeDocument/2006/relationships/hyperlink" Target="https://en.wikipedia.org/wiki/Acaciella_angustissima" TargetMode="External"/><Relationship Id="rId846" Type="http://schemas.openxmlformats.org/officeDocument/2006/relationships/hyperlink" Target="https://en.wikipedia.org/wiki/Eugenia_uniflora" TargetMode="External"/><Relationship Id="rId603" Type="http://schemas.openxmlformats.org/officeDocument/2006/relationships/hyperlink" Target="https://en.wikipedia.org/wiki/Acaciella_angustissima" TargetMode="External"/><Relationship Id="rId845" Type="http://schemas.openxmlformats.org/officeDocument/2006/relationships/hyperlink" Target="https://en.wikipedia.org/wiki/Eugenia_uniflora" TargetMode="External"/><Relationship Id="rId840" Type="http://schemas.openxmlformats.org/officeDocument/2006/relationships/hyperlink" Target="https://en.wikipedia.org/wiki/Eugenia_uniflora" TargetMode="External"/><Relationship Id="rId839" Type="http://schemas.openxmlformats.org/officeDocument/2006/relationships/hyperlink" Target="https://en.wikipedia.org/wiki/Eugenia_uniflora" TargetMode="External"/><Relationship Id="rId838" Type="http://schemas.openxmlformats.org/officeDocument/2006/relationships/hyperlink" Target="https://en.wikipedia.org/wiki/Eugenia_uniflora" TargetMode="External"/><Relationship Id="rId833" Type="http://schemas.openxmlformats.org/officeDocument/2006/relationships/hyperlink" Target="https://en.wikipedia.org/wiki/Eugenia_uniflora" TargetMode="External"/><Relationship Id="rId832" Type="http://schemas.openxmlformats.org/officeDocument/2006/relationships/hyperlink" Target="https://en.wikipedia.org/wiki/Eugenia_uniflora" TargetMode="External"/><Relationship Id="rId831" Type="http://schemas.openxmlformats.org/officeDocument/2006/relationships/hyperlink" Target="https://en.wikipedia.org/wiki/Eugenia_uniflora" TargetMode="External"/><Relationship Id="rId830" Type="http://schemas.openxmlformats.org/officeDocument/2006/relationships/hyperlink" Target="https://en.wikipedia.org/wiki/Eugenia_uniflora" TargetMode="External"/><Relationship Id="rId837" Type="http://schemas.openxmlformats.org/officeDocument/2006/relationships/hyperlink" Target="https://en.wikipedia.org/wiki/Eugenia_uniflora" TargetMode="External"/><Relationship Id="rId836" Type="http://schemas.openxmlformats.org/officeDocument/2006/relationships/hyperlink" Target="https://en.wikipedia.org/wiki/Eugenia_uniflora" TargetMode="External"/><Relationship Id="rId835" Type="http://schemas.openxmlformats.org/officeDocument/2006/relationships/hyperlink" Target="https://en.wikipedia.org/wiki/Eugenia_uniflora" TargetMode="External"/><Relationship Id="rId834" Type="http://schemas.openxmlformats.org/officeDocument/2006/relationships/hyperlink" Target="https://en.wikipedia.org/wiki/Eugenia_uniflora" TargetMode="External"/><Relationship Id="rId228" Type="http://schemas.openxmlformats.org/officeDocument/2006/relationships/hyperlink" Target="https://en.wikipedia.org/wiki/Cashew" TargetMode="External"/><Relationship Id="rId227" Type="http://schemas.openxmlformats.org/officeDocument/2006/relationships/hyperlink" Target="https://en.wikipedia.org/wiki/Cashew" TargetMode="External"/><Relationship Id="rId469" Type="http://schemas.openxmlformats.org/officeDocument/2006/relationships/hyperlink" Target="https://en.wikipedia.org/wiki/Sweet_potato" TargetMode="External"/><Relationship Id="rId226" Type="http://schemas.openxmlformats.org/officeDocument/2006/relationships/hyperlink" Target="https://en.wikipedia.org/wiki/Cashew" TargetMode="External"/><Relationship Id="rId468" Type="http://schemas.openxmlformats.org/officeDocument/2006/relationships/hyperlink" Target="http://edn.link/fn297f" TargetMode="External"/><Relationship Id="rId225" Type="http://schemas.openxmlformats.org/officeDocument/2006/relationships/hyperlink" Target="https://en.wikipedia.org/wiki/Cashew" TargetMode="External"/><Relationship Id="rId467" Type="http://schemas.openxmlformats.org/officeDocument/2006/relationships/hyperlink" Target="https://en.wikipedia.org/wiki/Sweet_potato" TargetMode="External"/><Relationship Id="rId229" Type="http://schemas.openxmlformats.org/officeDocument/2006/relationships/hyperlink" Target="https://en.wikipedia.org/wiki/Cashew" TargetMode="External"/><Relationship Id="rId220" Type="http://schemas.openxmlformats.org/officeDocument/2006/relationships/hyperlink" Target="https://en.wikipedia.org/wiki/Cashew" TargetMode="External"/><Relationship Id="rId462" Type="http://schemas.openxmlformats.org/officeDocument/2006/relationships/hyperlink" Target="https://en.wikipedia.org/wiki/Sweet_potato" TargetMode="External"/><Relationship Id="rId461" Type="http://schemas.openxmlformats.org/officeDocument/2006/relationships/hyperlink" Target="https://en.wikipedia.org/wiki/Sweet_potato" TargetMode="External"/><Relationship Id="rId460" Type="http://schemas.openxmlformats.org/officeDocument/2006/relationships/hyperlink" Target="https://en.wikipedia.org/wiki/Sweet_potato" TargetMode="External"/><Relationship Id="rId224" Type="http://schemas.openxmlformats.org/officeDocument/2006/relationships/hyperlink" Target="https://en.wikipedia.org/wiki/Cashew" TargetMode="External"/><Relationship Id="rId466" Type="http://schemas.openxmlformats.org/officeDocument/2006/relationships/hyperlink" Target="http://edn.link/fn297f" TargetMode="External"/><Relationship Id="rId223" Type="http://schemas.openxmlformats.org/officeDocument/2006/relationships/hyperlink" Target="https://en.wikipedia.org/wiki/Cashew" TargetMode="External"/><Relationship Id="rId465" Type="http://schemas.openxmlformats.org/officeDocument/2006/relationships/hyperlink" Target="https://en.wikipedia.org/wiki/Sweet_potato" TargetMode="External"/><Relationship Id="rId222" Type="http://schemas.openxmlformats.org/officeDocument/2006/relationships/hyperlink" Target="https://en.wikipedia.org/wiki/Cashew" TargetMode="External"/><Relationship Id="rId464" Type="http://schemas.openxmlformats.org/officeDocument/2006/relationships/hyperlink" Target="https://en.wikipedia.org/wiki/Sweet_potato" TargetMode="External"/><Relationship Id="rId221" Type="http://schemas.openxmlformats.org/officeDocument/2006/relationships/hyperlink" Target="https://en.wikipedia.org/wiki/Cashew" TargetMode="External"/><Relationship Id="rId463" Type="http://schemas.openxmlformats.org/officeDocument/2006/relationships/hyperlink" Target="https://en.wikipedia.org/wiki/Sweet_potato" TargetMode="External"/><Relationship Id="rId217" Type="http://schemas.openxmlformats.org/officeDocument/2006/relationships/hyperlink" Target="https://en.wikipedia.org/wiki/Cashew" TargetMode="External"/><Relationship Id="rId459" Type="http://schemas.openxmlformats.org/officeDocument/2006/relationships/hyperlink" Target="https://en.wikipedia.org/wiki/Sweet_potato" TargetMode="External"/><Relationship Id="rId216" Type="http://schemas.openxmlformats.org/officeDocument/2006/relationships/hyperlink" Target="https://en.wikipedia.org/wiki/Cashew" TargetMode="External"/><Relationship Id="rId458" Type="http://schemas.openxmlformats.org/officeDocument/2006/relationships/hyperlink" Target="https://en.wikipedia.org/wiki/Sweet_potato" TargetMode="External"/><Relationship Id="rId215" Type="http://schemas.openxmlformats.org/officeDocument/2006/relationships/hyperlink" Target="https://en.wikipedia.org/wiki/Cashew" TargetMode="External"/><Relationship Id="rId457" Type="http://schemas.openxmlformats.org/officeDocument/2006/relationships/hyperlink" Target="https://en.wikipedia.org/wiki/Sweet_potato" TargetMode="External"/><Relationship Id="rId699" Type="http://schemas.openxmlformats.org/officeDocument/2006/relationships/hyperlink" Target="https://en.wikipedia.org/wiki/Salacca_zalacca" TargetMode="External"/><Relationship Id="rId214" Type="http://schemas.openxmlformats.org/officeDocument/2006/relationships/hyperlink" Target="https://en.wikipedia.org/wiki/Cashew" TargetMode="External"/><Relationship Id="rId456" Type="http://schemas.openxmlformats.org/officeDocument/2006/relationships/hyperlink" Target="https://en.wikipedia.org/wiki/Sweet_potato" TargetMode="External"/><Relationship Id="rId698" Type="http://schemas.openxmlformats.org/officeDocument/2006/relationships/hyperlink" Target="https://en.wikipedia.org/wiki/Salacca_zalacca" TargetMode="External"/><Relationship Id="rId219" Type="http://schemas.openxmlformats.org/officeDocument/2006/relationships/hyperlink" Target="https://en.wikipedia.org/wiki/Cashew" TargetMode="External"/><Relationship Id="rId218" Type="http://schemas.openxmlformats.org/officeDocument/2006/relationships/hyperlink" Target="https://en.wikipedia.org/wiki/Cashew" TargetMode="External"/><Relationship Id="rId451" Type="http://schemas.openxmlformats.org/officeDocument/2006/relationships/hyperlink" Target="https://www.lsuagcenter.com/portals/our_offices/research_stations/sweetpotato/features/varieties/sweet-potato-variety-descriptions" TargetMode="External"/><Relationship Id="rId693" Type="http://schemas.openxmlformats.org/officeDocument/2006/relationships/hyperlink" Target="https://en.wikipedia.org/wiki/Salacca_zalacca" TargetMode="External"/><Relationship Id="rId450" Type="http://schemas.openxmlformats.org/officeDocument/2006/relationships/hyperlink" Target="https://en.wikipedia.org/wiki/Sweet_potato" TargetMode="External"/><Relationship Id="rId692" Type="http://schemas.openxmlformats.org/officeDocument/2006/relationships/hyperlink" Target="https://en.wikipedia.org/wiki/Salacca_zalacca" TargetMode="External"/><Relationship Id="rId691" Type="http://schemas.openxmlformats.org/officeDocument/2006/relationships/hyperlink" Target="https://en.wikipedia.org/wiki/Salacca_zalacca" TargetMode="External"/><Relationship Id="rId690" Type="http://schemas.openxmlformats.org/officeDocument/2006/relationships/hyperlink" Target="https://en.wikipedia.org/wiki/Salacca_zalacca" TargetMode="External"/><Relationship Id="rId213" Type="http://schemas.openxmlformats.org/officeDocument/2006/relationships/hyperlink" Target="https://en.wikipedia.org/wiki/Cashew" TargetMode="External"/><Relationship Id="rId455" Type="http://schemas.openxmlformats.org/officeDocument/2006/relationships/hyperlink" Target="https://www.lsuagcenter.com/portals/our_offices/research_stations/sweetpotato/features/varieties/sweet-potato-variety-descriptions" TargetMode="External"/><Relationship Id="rId697" Type="http://schemas.openxmlformats.org/officeDocument/2006/relationships/hyperlink" Target="https://en.wikipedia.org/wiki/Salacca_zalacca" TargetMode="External"/><Relationship Id="rId212" Type="http://schemas.openxmlformats.org/officeDocument/2006/relationships/hyperlink" Target="https://en.wikipedia.org/wiki/Cashew" TargetMode="External"/><Relationship Id="rId454" Type="http://schemas.openxmlformats.org/officeDocument/2006/relationships/hyperlink" Target="https://en.wikipedia.org/wiki/Sweet_potato" TargetMode="External"/><Relationship Id="rId696" Type="http://schemas.openxmlformats.org/officeDocument/2006/relationships/hyperlink" Target="https://en.wikipedia.org/wiki/Salacca_zalacca" TargetMode="External"/><Relationship Id="rId211" Type="http://schemas.openxmlformats.org/officeDocument/2006/relationships/hyperlink" Target="https://en.wikipedia.org/wiki/Cashew" TargetMode="External"/><Relationship Id="rId453" Type="http://schemas.openxmlformats.org/officeDocument/2006/relationships/hyperlink" Target="https://www.lsuagcenter.com/portals/our_offices/research_stations/sweetpotato/features/varieties/sweet-potato-variety-descriptions" TargetMode="External"/><Relationship Id="rId695" Type="http://schemas.openxmlformats.org/officeDocument/2006/relationships/hyperlink" Target="https://en.wikipedia.org/wiki/Salacca_zalacca" TargetMode="External"/><Relationship Id="rId210" Type="http://schemas.openxmlformats.org/officeDocument/2006/relationships/hyperlink" Target="https://en.wikipedia.org/wiki/Cashew" TargetMode="External"/><Relationship Id="rId452" Type="http://schemas.openxmlformats.org/officeDocument/2006/relationships/hyperlink" Target="https://en.wikipedia.org/wiki/Sweet_potato" TargetMode="External"/><Relationship Id="rId694" Type="http://schemas.openxmlformats.org/officeDocument/2006/relationships/hyperlink" Target="https://en.wikipedia.org/wiki/Salacca_zalacca" TargetMode="External"/><Relationship Id="rId491" Type="http://schemas.openxmlformats.org/officeDocument/2006/relationships/hyperlink" Target="https://en.wikipedia.org/wiki/Inga" TargetMode="External"/><Relationship Id="rId490" Type="http://schemas.openxmlformats.org/officeDocument/2006/relationships/hyperlink" Target="https://en.wikipedia.org/wiki/Inga" TargetMode="External"/><Relationship Id="rId249" Type="http://schemas.openxmlformats.org/officeDocument/2006/relationships/hyperlink" Target="https://en.wikipedia.org/wiki/Cashew" TargetMode="External"/><Relationship Id="rId248" Type="http://schemas.openxmlformats.org/officeDocument/2006/relationships/hyperlink" Target="https://en.wikipedia.org/wiki/Cashew" TargetMode="External"/><Relationship Id="rId247" Type="http://schemas.openxmlformats.org/officeDocument/2006/relationships/hyperlink" Target="https://en.wikipedia.org/wiki/Cashew" TargetMode="External"/><Relationship Id="rId489" Type="http://schemas.openxmlformats.org/officeDocument/2006/relationships/hyperlink" Target="https://en.wikipedia.org/wiki/Inga" TargetMode="External"/><Relationship Id="rId242" Type="http://schemas.openxmlformats.org/officeDocument/2006/relationships/hyperlink" Target="https://en.wikipedia.org/wiki/Cashew" TargetMode="External"/><Relationship Id="rId484" Type="http://schemas.openxmlformats.org/officeDocument/2006/relationships/hyperlink" Target="https://en.wikipedia.org/wiki/Mangifera_indica" TargetMode="External"/><Relationship Id="rId241" Type="http://schemas.openxmlformats.org/officeDocument/2006/relationships/hyperlink" Target="https://en.wikipedia.org/wiki/Cashew" TargetMode="External"/><Relationship Id="rId483" Type="http://schemas.openxmlformats.org/officeDocument/2006/relationships/hyperlink" Target="https://en.wikipedia.org/wiki/Inga" TargetMode="External"/><Relationship Id="rId240" Type="http://schemas.openxmlformats.org/officeDocument/2006/relationships/hyperlink" Target="https://en.wikipedia.org/wiki/Cashew" TargetMode="External"/><Relationship Id="rId482" Type="http://schemas.openxmlformats.org/officeDocument/2006/relationships/hyperlink" Target="https://en.wikipedia.org/wiki/Inga" TargetMode="External"/><Relationship Id="rId481" Type="http://schemas.openxmlformats.org/officeDocument/2006/relationships/hyperlink" Target="https://fr.wikipedia.org/wiki/Eriobotrya_japonica" TargetMode="External"/><Relationship Id="rId246" Type="http://schemas.openxmlformats.org/officeDocument/2006/relationships/hyperlink" Target="https://en.wikipedia.org/wiki/Cashew" TargetMode="External"/><Relationship Id="rId488" Type="http://schemas.openxmlformats.org/officeDocument/2006/relationships/hyperlink" Target="https://en.wikipedia.org/wiki/Spondias_dulcis" TargetMode="External"/><Relationship Id="rId245" Type="http://schemas.openxmlformats.org/officeDocument/2006/relationships/hyperlink" Target="https://en.wikipedia.org/wiki/Cashew" TargetMode="External"/><Relationship Id="rId487" Type="http://schemas.openxmlformats.org/officeDocument/2006/relationships/hyperlink" Target="https://en.wikipedia.org/wiki/White_sapote" TargetMode="External"/><Relationship Id="rId244" Type="http://schemas.openxmlformats.org/officeDocument/2006/relationships/hyperlink" Target="https://en.wikipedia.org/wiki/Cashew" TargetMode="External"/><Relationship Id="rId486" Type="http://schemas.openxmlformats.org/officeDocument/2006/relationships/hyperlink" Target="https://en.wikipedia.org/wiki/Artocarpus_integer" TargetMode="External"/><Relationship Id="rId243" Type="http://schemas.openxmlformats.org/officeDocument/2006/relationships/hyperlink" Target="https://en.wikipedia.org/wiki/Cashew" TargetMode="External"/><Relationship Id="rId485" Type="http://schemas.openxmlformats.org/officeDocument/2006/relationships/hyperlink" Target="https://en.wikipedia.org/wiki/Mangifera_indica" TargetMode="External"/><Relationship Id="rId480" Type="http://schemas.openxmlformats.org/officeDocument/2006/relationships/hyperlink" Target="https://fr.wikipedia.org/wiki/Eriobotrya_japonica" TargetMode="External"/><Relationship Id="rId239" Type="http://schemas.openxmlformats.org/officeDocument/2006/relationships/hyperlink" Target="https://en.wikipedia.org/wiki/Cashew" TargetMode="External"/><Relationship Id="rId238" Type="http://schemas.openxmlformats.org/officeDocument/2006/relationships/hyperlink" Target="https://en.wikipedia.org/wiki/Cashew" TargetMode="External"/><Relationship Id="rId237" Type="http://schemas.openxmlformats.org/officeDocument/2006/relationships/hyperlink" Target="https://en.wikipedia.org/wiki/Cashew" TargetMode="External"/><Relationship Id="rId479" Type="http://schemas.openxmlformats.org/officeDocument/2006/relationships/hyperlink" Target="https://fr.wikipedia.org/wiki/Eriobotrya_japonica" TargetMode="External"/><Relationship Id="rId236" Type="http://schemas.openxmlformats.org/officeDocument/2006/relationships/hyperlink" Target="https://en.wikipedia.org/wiki/Cashew" TargetMode="External"/><Relationship Id="rId478" Type="http://schemas.openxmlformats.org/officeDocument/2006/relationships/hyperlink" Target="https://fr.wikipedia.org/wiki/Eriobotrya_japonica" TargetMode="External"/><Relationship Id="rId231" Type="http://schemas.openxmlformats.org/officeDocument/2006/relationships/hyperlink" Target="https://en.wikipedia.org/wiki/Cashew" TargetMode="External"/><Relationship Id="rId473" Type="http://schemas.openxmlformats.org/officeDocument/2006/relationships/hyperlink" Target="https://en.wikipedia.org/wiki/Sweet_potato" TargetMode="External"/><Relationship Id="rId230" Type="http://schemas.openxmlformats.org/officeDocument/2006/relationships/hyperlink" Target="https://en.wikipedia.org/wiki/Cashew" TargetMode="External"/><Relationship Id="rId472" Type="http://schemas.openxmlformats.org/officeDocument/2006/relationships/hyperlink" Target="http://edn.link/fn297f" TargetMode="External"/><Relationship Id="rId471" Type="http://schemas.openxmlformats.org/officeDocument/2006/relationships/hyperlink" Target="https://en.wikipedia.org/wiki/Sweet_potato" TargetMode="External"/><Relationship Id="rId470" Type="http://schemas.openxmlformats.org/officeDocument/2006/relationships/hyperlink" Target="http://edn.link/fn297f" TargetMode="External"/><Relationship Id="rId235" Type="http://schemas.openxmlformats.org/officeDocument/2006/relationships/hyperlink" Target="https://en.wikipedia.org/wiki/Cashew" TargetMode="External"/><Relationship Id="rId477" Type="http://schemas.openxmlformats.org/officeDocument/2006/relationships/hyperlink" Target="https://fr.wikipedia.org/wiki/Eriobotrya_japonica" TargetMode="External"/><Relationship Id="rId234" Type="http://schemas.openxmlformats.org/officeDocument/2006/relationships/hyperlink" Target="https://en.wikipedia.org/wiki/Cashew" TargetMode="External"/><Relationship Id="rId476" Type="http://schemas.openxmlformats.org/officeDocument/2006/relationships/hyperlink" Target="https://fr.wikipedia.org/wiki/Eriobotrya_japonica" TargetMode="External"/><Relationship Id="rId233" Type="http://schemas.openxmlformats.org/officeDocument/2006/relationships/hyperlink" Target="https://en.wikipedia.org/wiki/Cashew" TargetMode="External"/><Relationship Id="rId475" Type="http://schemas.openxmlformats.org/officeDocument/2006/relationships/hyperlink" Target="https://fr.wikipedia.org/wiki/Eriobotrya_japonica" TargetMode="External"/><Relationship Id="rId232" Type="http://schemas.openxmlformats.org/officeDocument/2006/relationships/hyperlink" Target="https://en.wikipedia.org/wiki/Cashew" TargetMode="External"/><Relationship Id="rId474" Type="http://schemas.openxmlformats.org/officeDocument/2006/relationships/hyperlink" Target="http://edn.link/fn297f" TargetMode="External"/><Relationship Id="rId426" Type="http://schemas.openxmlformats.org/officeDocument/2006/relationships/hyperlink" Target="https://en.wikipedia.org/wiki/Pachira_glabra" TargetMode="External"/><Relationship Id="rId668" Type="http://schemas.openxmlformats.org/officeDocument/2006/relationships/hyperlink" Target="https://en.wikipedia.org/wiki/Soursop" TargetMode="External"/><Relationship Id="rId425" Type="http://schemas.openxmlformats.org/officeDocument/2006/relationships/hyperlink" Target="https://en.wikipedia.org/wiki/Jackfruit" TargetMode="External"/><Relationship Id="rId667" Type="http://schemas.openxmlformats.org/officeDocument/2006/relationships/hyperlink" Target="https://en.wikipedia.org/wiki/Soursop" TargetMode="External"/><Relationship Id="rId424" Type="http://schemas.openxmlformats.org/officeDocument/2006/relationships/hyperlink" Target="https://en.wikipedia.org/wiki/Jackfruit" TargetMode="External"/><Relationship Id="rId666" Type="http://schemas.openxmlformats.org/officeDocument/2006/relationships/hyperlink" Target="https://en.wikipedia.org/wiki/Soursop" TargetMode="External"/><Relationship Id="rId423" Type="http://schemas.openxmlformats.org/officeDocument/2006/relationships/hyperlink" Target="https://toptropicals.com/catalog/uid/pouteria_hypoglauca.htm" TargetMode="External"/><Relationship Id="rId665" Type="http://schemas.openxmlformats.org/officeDocument/2006/relationships/hyperlink" Target="https://en.wikipedia.org/wiki/Soursop" TargetMode="External"/><Relationship Id="rId429" Type="http://schemas.openxmlformats.org/officeDocument/2006/relationships/hyperlink" Target="https://en.wikipedia.org/wiki/Pachira_glabra" TargetMode="External"/><Relationship Id="rId428" Type="http://schemas.openxmlformats.org/officeDocument/2006/relationships/hyperlink" Target="https://en.wikipedia.org/wiki/Pachira_glabra" TargetMode="External"/><Relationship Id="rId427" Type="http://schemas.openxmlformats.org/officeDocument/2006/relationships/hyperlink" Target="https://en.wikipedia.org/wiki/Pachira_glabra" TargetMode="External"/><Relationship Id="rId669" Type="http://schemas.openxmlformats.org/officeDocument/2006/relationships/hyperlink" Target="https://en.wikipedia.org/wiki/Soursop" TargetMode="External"/><Relationship Id="rId660" Type="http://schemas.openxmlformats.org/officeDocument/2006/relationships/hyperlink" Target="https://en.wikipedia.org/wiki/Soursop" TargetMode="External"/><Relationship Id="rId422" Type="http://schemas.openxmlformats.org/officeDocument/2006/relationships/hyperlink" Target="https://toptropicals.com/catalog/uid/pouteria_hypoglauca.htm" TargetMode="External"/><Relationship Id="rId664" Type="http://schemas.openxmlformats.org/officeDocument/2006/relationships/hyperlink" Target="https://en.wikipedia.org/wiki/Soursop" TargetMode="External"/><Relationship Id="rId421" Type="http://schemas.openxmlformats.org/officeDocument/2006/relationships/hyperlink" Target="https://toptropicals.com/catalog/uid/pouteria_hypoglauca.htm" TargetMode="External"/><Relationship Id="rId663" Type="http://schemas.openxmlformats.org/officeDocument/2006/relationships/hyperlink" Target="https://en.wikipedia.org/wiki/Soursop" TargetMode="External"/><Relationship Id="rId420" Type="http://schemas.openxmlformats.org/officeDocument/2006/relationships/hyperlink" Target="https://en.wikipedia.org/wiki/Jackfruit" TargetMode="External"/><Relationship Id="rId662" Type="http://schemas.openxmlformats.org/officeDocument/2006/relationships/hyperlink" Target="https://en.wikipedia.org/wiki/Soursop" TargetMode="External"/><Relationship Id="rId661" Type="http://schemas.openxmlformats.org/officeDocument/2006/relationships/hyperlink" Target="https://en.wikipedia.org/wiki/Soursop" TargetMode="External"/><Relationship Id="rId415" Type="http://schemas.openxmlformats.org/officeDocument/2006/relationships/hyperlink" Target="https://en.wikipedia.org/wiki/Mammea_americana" TargetMode="External"/><Relationship Id="rId657" Type="http://schemas.openxmlformats.org/officeDocument/2006/relationships/hyperlink" Target="https://en.wikipedia.org/wiki/Soursop" TargetMode="External"/><Relationship Id="rId899" Type="http://schemas.openxmlformats.org/officeDocument/2006/relationships/hyperlink" Target="https://en.wikipedia.org/wiki/Myrciaria_glazioviana" TargetMode="External"/><Relationship Id="rId414" Type="http://schemas.openxmlformats.org/officeDocument/2006/relationships/hyperlink" Target="https://en.wikipedia.org/wiki/Avocado" TargetMode="External"/><Relationship Id="rId656" Type="http://schemas.openxmlformats.org/officeDocument/2006/relationships/hyperlink" Target="https://en.wikipedia.org/wiki/Soursop" TargetMode="External"/><Relationship Id="rId898" Type="http://schemas.openxmlformats.org/officeDocument/2006/relationships/hyperlink" Target="https://en.wikipedia.org/wiki/Jabuticaba" TargetMode="External"/><Relationship Id="rId413" Type="http://schemas.openxmlformats.org/officeDocument/2006/relationships/hyperlink" Target="https://en.wikipedia.org/wiki/Avocado" TargetMode="External"/><Relationship Id="rId655" Type="http://schemas.openxmlformats.org/officeDocument/2006/relationships/hyperlink" Target="https://en.wikipedia.org/wiki/Soursop" TargetMode="External"/><Relationship Id="rId897" Type="http://schemas.openxmlformats.org/officeDocument/2006/relationships/hyperlink" Target="https://en.wikipedia.org/wiki/Jabuticaba" TargetMode="External"/><Relationship Id="rId412" Type="http://schemas.openxmlformats.org/officeDocument/2006/relationships/hyperlink" Target="https://en.wikipedia.org/wiki/Avocado" TargetMode="External"/><Relationship Id="rId654" Type="http://schemas.openxmlformats.org/officeDocument/2006/relationships/hyperlink" Target="https://en.wikipedia.org/wiki/Soursop" TargetMode="External"/><Relationship Id="rId896" Type="http://schemas.openxmlformats.org/officeDocument/2006/relationships/hyperlink" Target="https://en.wikipedia.org/wiki/Avocado" TargetMode="External"/><Relationship Id="rId419" Type="http://schemas.openxmlformats.org/officeDocument/2006/relationships/hyperlink" Target="https://en.wikipedia.org/wiki/Diospyros_nigra" TargetMode="External"/><Relationship Id="rId418" Type="http://schemas.openxmlformats.org/officeDocument/2006/relationships/hyperlink" Target="https://en.wikipedia.org/wiki/Psidium_guajava" TargetMode="External"/><Relationship Id="rId417" Type="http://schemas.openxmlformats.org/officeDocument/2006/relationships/hyperlink" Target="https://en.wikipedia.org/wiki/Mammea_americana" TargetMode="External"/><Relationship Id="rId659" Type="http://schemas.openxmlformats.org/officeDocument/2006/relationships/hyperlink" Target="https://en.wikipedia.org/wiki/Soursop" TargetMode="External"/><Relationship Id="rId416" Type="http://schemas.openxmlformats.org/officeDocument/2006/relationships/hyperlink" Target="https://en.wikipedia.org/wiki/Mammea_americana" TargetMode="External"/><Relationship Id="rId658" Type="http://schemas.openxmlformats.org/officeDocument/2006/relationships/hyperlink" Target="https://en.wikipedia.org/wiki/Soursop" TargetMode="External"/><Relationship Id="rId891" Type="http://schemas.openxmlformats.org/officeDocument/2006/relationships/hyperlink" Target="https://en.wikipedia.org/wiki/Avocado" TargetMode="External"/><Relationship Id="rId890" Type="http://schemas.openxmlformats.org/officeDocument/2006/relationships/hyperlink" Target="https://en.wikipedia.org/wiki/Avocado" TargetMode="External"/><Relationship Id="rId411" Type="http://schemas.openxmlformats.org/officeDocument/2006/relationships/hyperlink" Target="https://en.wikipedia.org/wiki/Avocado" TargetMode="External"/><Relationship Id="rId653" Type="http://schemas.openxmlformats.org/officeDocument/2006/relationships/hyperlink" Target="https://en.wikipedia.org/wiki/Soursop" TargetMode="External"/><Relationship Id="rId895" Type="http://schemas.openxmlformats.org/officeDocument/2006/relationships/hyperlink" Target="https://en.wikipedia.org/wiki/Avocado" TargetMode="External"/><Relationship Id="rId410" Type="http://schemas.openxmlformats.org/officeDocument/2006/relationships/hyperlink" Target="https://en.wikipedia.org/wiki/Jackfruit" TargetMode="External"/><Relationship Id="rId652" Type="http://schemas.openxmlformats.org/officeDocument/2006/relationships/hyperlink" Target="https://en.wikipedia.org/wiki/Soursop" TargetMode="External"/><Relationship Id="rId894" Type="http://schemas.openxmlformats.org/officeDocument/2006/relationships/hyperlink" Target="https://en.wikipedia.org/wiki/Avocado" TargetMode="External"/><Relationship Id="rId651" Type="http://schemas.openxmlformats.org/officeDocument/2006/relationships/hyperlink" Target="https://en.wikipedia.org/wiki/Soursop" TargetMode="External"/><Relationship Id="rId893" Type="http://schemas.openxmlformats.org/officeDocument/2006/relationships/hyperlink" Target="https://en.wikipedia.org/wiki/Avocado" TargetMode="External"/><Relationship Id="rId650" Type="http://schemas.openxmlformats.org/officeDocument/2006/relationships/hyperlink" Target="https://en.wikipedia.org/wiki/Soursop" TargetMode="External"/><Relationship Id="rId892" Type="http://schemas.openxmlformats.org/officeDocument/2006/relationships/hyperlink" Target="https://en.wikipedia.org/wiki/Avocado" TargetMode="External"/><Relationship Id="rId206" Type="http://schemas.openxmlformats.org/officeDocument/2006/relationships/hyperlink" Target="https://en.wikipedia.org/wiki/Cashew" TargetMode="External"/><Relationship Id="rId448" Type="http://schemas.openxmlformats.org/officeDocument/2006/relationships/hyperlink" Target="https://en.wikipedia.org/wiki/Sweet_potato" TargetMode="External"/><Relationship Id="rId205" Type="http://schemas.openxmlformats.org/officeDocument/2006/relationships/hyperlink" Target="https://en.wikipedia.org/wiki/Cashew" TargetMode="External"/><Relationship Id="rId447" Type="http://schemas.openxmlformats.org/officeDocument/2006/relationships/hyperlink" Target="http://edn.link/fn297f" TargetMode="External"/><Relationship Id="rId689" Type="http://schemas.openxmlformats.org/officeDocument/2006/relationships/hyperlink" Target="https://en.wikipedia.org/wiki/Salacca_zalacca" TargetMode="External"/><Relationship Id="rId204" Type="http://schemas.openxmlformats.org/officeDocument/2006/relationships/hyperlink" Target="https://en.wikipedia.org/wiki/Cashew" TargetMode="External"/><Relationship Id="rId446" Type="http://schemas.openxmlformats.org/officeDocument/2006/relationships/hyperlink" Target="https://en.wikipedia.org/wiki/Sweet_potato" TargetMode="External"/><Relationship Id="rId688" Type="http://schemas.openxmlformats.org/officeDocument/2006/relationships/hyperlink" Target="https://en.wikipedia.org/wiki/Salacca_zalacca" TargetMode="External"/><Relationship Id="rId203" Type="http://schemas.openxmlformats.org/officeDocument/2006/relationships/hyperlink" Target="https://en.wikipedia.org/wiki/Cashew" TargetMode="External"/><Relationship Id="rId445" Type="http://schemas.openxmlformats.org/officeDocument/2006/relationships/hyperlink" Target="https://tropicalbamboo.com/find_bamboo.asp" TargetMode="External"/><Relationship Id="rId687" Type="http://schemas.openxmlformats.org/officeDocument/2006/relationships/hyperlink" Target="https://en.wikipedia.org/wiki/Salacca_zalacca" TargetMode="External"/><Relationship Id="rId209" Type="http://schemas.openxmlformats.org/officeDocument/2006/relationships/hyperlink" Target="https://en.wikipedia.org/wiki/Cashew" TargetMode="External"/><Relationship Id="rId208" Type="http://schemas.openxmlformats.org/officeDocument/2006/relationships/hyperlink" Target="https://en.wikipedia.org/wiki/Cashew" TargetMode="External"/><Relationship Id="rId207" Type="http://schemas.openxmlformats.org/officeDocument/2006/relationships/hyperlink" Target="https://en.wikipedia.org/wiki/Cashew" TargetMode="External"/><Relationship Id="rId449" Type="http://schemas.openxmlformats.org/officeDocument/2006/relationships/hyperlink" Target="https://www.lsuagcenter.com/portals/our_offices/research_stations/sweetpotato/features/varieties/sweet-potato-variety-descriptions" TargetMode="External"/><Relationship Id="rId440" Type="http://schemas.openxmlformats.org/officeDocument/2006/relationships/hyperlink" Target="https://en.wikipedia.org/wiki/Coleus_caninus" TargetMode="External"/><Relationship Id="rId682" Type="http://schemas.openxmlformats.org/officeDocument/2006/relationships/hyperlink" Target="https://en.wikipedia.org/wiki/Salacca_zalacca" TargetMode="External"/><Relationship Id="rId681" Type="http://schemas.openxmlformats.org/officeDocument/2006/relationships/hyperlink" Target="https://en.wikipedia.org/wiki/Salacca_zalacca" TargetMode="External"/><Relationship Id="rId680" Type="http://schemas.openxmlformats.org/officeDocument/2006/relationships/hyperlink" Target="https://en.wikipedia.org/wiki/Salacca_zalacca" TargetMode="External"/><Relationship Id="rId202" Type="http://schemas.openxmlformats.org/officeDocument/2006/relationships/hyperlink" Target="https://en.wikipedia.org/wiki/Cashew" TargetMode="External"/><Relationship Id="rId444" Type="http://schemas.openxmlformats.org/officeDocument/2006/relationships/hyperlink" Target="https://tropicalbamboo.com/find_bamboo.asp" TargetMode="External"/><Relationship Id="rId686" Type="http://schemas.openxmlformats.org/officeDocument/2006/relationships/hyperlink" Target="https://en.wikipedia.org/wiki/Salacca_zalacca" TargetMode="External"/><Relationship Id="rId201" Type="http://schemas.openxmlformats.org/officeDocument/2006/relationships/hyperlink" Target="https://en.wikipedia.org/wiki/Cashew" TargetMode="External"/><Relationship Id="rId443" Type="http://schemas.openxmlformats.org/officeDocument/2006/relationships/hyperlink" Target="https://en.wikipedia.org/wiki/Gynura_bicolor" TargetMode="External"/><Relationship Id="rId685" Type="http://schemas.openxmlformats.org/officeDocument/2006/relationships/hyperlink" Target="https://en.wikipedia.org/wiki/Salacca_zalacca" TargetMode="External"/><Relationship Id="rId200" Type="http://schemas.openxmlformats.org/officeDocument/2006/relationships/hyperlink" Target="https://en.wikipedia.org/wiki/Cashew" TargetMode="External"/><Relationship Id="rId442" Type="http://schemas.openxmlformats.org/officeDocument/2006/relationships/hyperlink" Target="https://en.wikipedia.org/wiki/Gynura_bicolor" TargetMode="External"/><Relationship Id="rId684" Type="http://schemas.openxmlformats.org/officeDocument/2006/relationships/hyperlink" Target="https://en.wikipedia.org/wiki/Salacca_zalacca" TargetMode="External"/><Relationship Id="rId441" Type="http://schemas.openxmlformats.org/officeDocument/2006/relationships/hyperlink" Target="https://en.wikipedia.org/wiki/Gynura_bicolor" TargetMode="External"/><Relationship Id="rId683" Type="http://schemas.openxmlformats.org/officeDocument/2006/relationships/hyperlink" Target="https://en.wikipedia.org/wiki/Salacca_zalacca" TargetMode="External"/><Relationship Id="rId437" Type="http://schemas.openxmlformats.org/officeDocument/2006/relationships/hyperlink" Target="https://en.wikipedia.org/wiki/Morus_(plant)" TargetMode="External"/><Relationship Id="rId679" Type="http://schemas.openxmlformats.org/officeDocument/2006/relationships/hyperlink" Target="https://en.wikipedia.org/wiki/Salacca_zalacca" TargetMode="External"/><Relationship Id="rId436" Type="http://schemas.openxmlformats.org/officeDocument/2006/relationships/hyperlink" Target="https://en.wikipedia.org/wiki/Avocado" TargetMode="External"/><Relationship Id="rId678" Type="http://schemas.openxmlformats.org/officeDocument/2006/relationships/hyperlink" Target="https://en.wikipedia.org/wiki/Salacca_zalacca" TargetMode="External"/><Relationship Id="rId435" Type="http://schemas.openxmlformats.org/officeDocument/2006/relationships/hyperlink" Target="https://en.wikipedia.org/wiki/Pachira_glabra" TargetMode="External"/><Relationship Id="rId677" Type="http://schemas.openxmlformats.org/officeDocument/2006/relationships/hyperlink" Target="https://en.wikipedia.org/wiki/Salacca_zalacca" TargetMode="External"/><Relationship Id="rId434" Type="http://schemas.openxmlformats.org/officeDocument/2006/relationships/hyperlink" Target="https://en.wikipedia.org/wiki/Pachira_glabra" TargetMode="External"/><Relationship Id="rId676" Type="http://schemas.openxmlformats.org/officeDocument/2006/relationships/hyperlink" Target="https://en.wikipedia.org/wiki/Salacca_zalacca" TargetMode="External"/><Relationship Id="rId439" Type="http://schemas.openxmlformats.org/officeDocument/2006/relationships/hyperlink" Target="https://en.wikipedia.org/wiki/Artocarpus_parvus" TargetMode="External"/><Relationship Id="rId438" Type="http://schemas.openxmlformats.org/officeDocument/2006/relationships/hyperlink" Target="https://en.wikipedia.org/wiki/Rollinia_deliciosa" TargetMode="External"/><Relationship Id="rId671" Type="http://schemas.openxmlformats.org/officeDocument/2006/relationships/hyperlink" Target="https://en.wikipedia.org/wiki/Soursop" TargetMode="External"/><Relationship Id="rId670" Type="http://schemas.openxmlformats.org/officeDocument/2006/relationships/hyperlink" Target="https://en.wikipedia.org/wiki/Soursop" TargetMode="External"/><Relationship Id="rId433" Type="http://schemas.openxmlformats.org/officeDocument/2006/relationships/hyperlink" Target="https://toptropicals.com/catalog/uid/pouteria_hypoglauca.htm" TargetMode="External"/><Relationship Id="rId675" Type="http://schemas.openxmlformats.org/officeDocument/2006/relationships/hyperlink" Target="https://en.wikipedia.org/wiki/Soursop" TargetMode="External"/><Relationship Id="rId432" Type="http://schemas.openxmlformats.org/officeDocument/2006/relationships/hyperlink" Target="https://toptropicals.com/catalog/uid/pouteria_hypoglauca.htm" TargetMode="External"/><Relationship Id="rId674" Type="http://schemas.openxmlformats.org/officeDocument/2006/relationships/hyperlink" Target="https://en.wikipedia.org/wiki/Soursop" TargetMode="External"/><Relationship Id="rId431" Type="http://schemas.openxmlformats.org/officeDocument/2006/relationships/hyperlink" Target="https://toptropicals.com/catalog/uid/pouteria_hypoglauca.htm" TargetMode="External"/><Relationship Id="rId673" Type="http://schemas.openxmlformats.org/officeDocument/2006/relationships/hyperlink" Target="https://en.wikipedia.org/wiki/Soursop" TargetMode="External"/><Relationship Id="rId430" Type="http://schemas.openxmlformats.org/officeDocument/2006/relationships/hyperlink" Target="https://toptropicals.com/catalog/uid/pouteria_hypoglauca.htm" TargetMode="External"/><Relationship Id="rId672" Type="http://schemas.openxmlformats.org/officeDocument/2006/relationships/hyperlink" Target="https://en.wikipedia.org/wiki/Soursop"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creativecommons.org/licenses/by-sa/4.0/deed.en" TargetMode="External"/><Relationship Id="rId2" Type="http://schemas.openxmlformats.org/officeDocument/2006/relationships/hyperlink" Target="https://docs.getodk.org/form-design-intro/" TargetMode="External"/><Relationship Id="rId3" Type="http://schemas.openxmlformats.org/officeDocument/2006/relationships/hyperlink" Target="https://xlsform.org/" TargetMode="External"/><Relationship Id="rId4" Type="http://schemas.openxmlformats.org/officeDocument/2006/relationships/hyperlink" Target="https://forum.getodk.org/c/support/6" TargetMode="External"/><Relationship Id="rId9" Type="http://schemas.openxmlformats.org/officeDocument/2006/relationships/drawing" Target="../drawings/drawing7.xml"/><Relationship Id="rId5" Type="http://schemas.openxmlformats.org/officeDocument/2006/relationships/hyperlink" Target="https://forum.getodk.org/c/ideas/9" TargetMode="External"/><Relationship Id="rId6" Type="http://schemas.openxmlformats.org/officeDocument/2006/relationships/hyperlink" Target="https://github.com/Sjlver/yxf" TargetMode="External"/><Relationship Id="rId7" Type="http://schemas.openxmlformats.org/officeDocument/2006/relationships/hyperlink" Target="https://docs.google.com/spreadsheets/d/1AB2BNb2dsAOMJuRDjC-ii2-AeljDZ8TeGqAK6tLmZvk/edit" TargetMode="External"/><Relationship Id="rId8" Type="http://schemas.openxmlformats.org/officeDocument/2006/relationships/hyperlink" Target="https://forum.getodk.org/t/xlsform-template-some-missing-appearances/43671"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docs.google.com/spreadsheets/d/1af_Sl8A_L8_EULbhRLHVl8OclCfco09Hq2tqb9CslwQ/edit"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6.25"/>
    <col customWidth="1" min="2" max="2" width="19.88"/>
    <col customWidth="1" min="3" max="3" width="17.75"/>
    <col customWidth="1" min="4" max="4" width="8.13"/>
    <col customWidth="1" min="5" max="5" width="9.63"/>
    <col customWidth="1" min="6" max="6" width="7.13"/>
    <col customWidth="1" min="7" max="7" width="32.13"/>
    <col customWidth="1" min="8" max="8" width="67.25"/>
    <col customWidth="1" min="9" max="9" width="15.38"/>
  </cols>
  <sheetData>
    <row r="1">
      <c r="A1" s="1"/>
      <c r="B1" s="1" t="s">
        <v>0</v>
      </c>
      <c r="C1" s="1" t="s">
        <v>1</v>
      </c>
      <c r="D1" s="1" t="s">
        <v>2</v>
      </c>
      <c r="E1" s="1" t="s">
        <v>3</v>
      </c>
      <c r="F1" s="1" t="s">
        <v>4</v>
      </c>
      <c r="G1" s="1" t="s">
        <v>5</v>
      </c>
      <c r="H1" s="1" t="s">
        <v>6</v>
      </c>
      <c r="I1" s="1" t="s">
        <v>7</v>
      </c>
      <c r="J1" s="2"/>
      <c r="K1" s="2"/>
      <c r="L1" s="2"/>
      <c r="M1" s="2"/>
      <c r="N1" s="2"/>
      <c r="O1" s="2"/>
      <c r="P1" s="2"/>
      <c r="Q1" s="2"/>
      <c r="R1" s="2"/>
      <c r="S1" s="2"/>
      <c r="T1" s="2"/>
      <c r="U1" s="2"/>
      <c r="V1" s="2"/>
      <c r="W1" s="2"/>
      <c r="X1" s="2"/>
      <c r="Y1" s="2"/>
      <c r="Z1" s="2"/>
    </row>
    <row r="2">
      <c r="A2" s="3" t="s">
        <v>8</v>
      </c>
      <c r="B2" s="3" t="s">
        <v>9</v>
      </c>
      <c r="C2" s="4" t="s">
        <v>10</v>
      </c>
      <c r="D2" s="5">
        <v>0.0</v>
      </c>
      <c r="E2" s="4" t="s">
        <v>11</v>
      </c>
      <c r="F2" s="5">
        <v>36.0</v>
      </c>
      <c r="G2" s="6" t="s">
        <v>12</v>
      </c>
      <c r="H2" s="4" t="s">
        <v>13</v>
      </c>
      <c r="I2" s="7">
        <v>45931.32733903935</v>
      </c>
      <c r="J2" s="8"/>
      <c r="K2" s="8"/>
      <c r="L2" s="8"/>
      <c r="M2" s="8"/>
      <c r="N2" s="8"/>
      <c r="O2" s="8"/>
      <c r="P2" s="8"/>
      <c r="Q2" s="8"/>
      <c r="R2" s="8"/>
      <c r="S2" s="8"/>
      <c r="T2" s="8"/>
      <c r="U2" s="8"/>
      <c r="V2" s="8"/>
      <c r="W2" s="8"/>
      <c r="X2" s="8"/>
      <c r="Y2" s="8"/>
      <c r="Z2" s="8"/>
    </row>
    <row r="3">
      <c r="A3" s="3"/>
      <c r="B3" s="4"/>
      <c r="C3" s="4"/>
      <c r="D3" s="5"/>
      <c r="E3" s="9" t="str">
        <f>IFERROR(__xludf.DUMMYFUNCTION("transpose(If(E2=""None"","""",SPLIT(E2,"" , "")))"),"")</f>
        <v/>
      </c>
      <c r="F3" s="10"/>
      <c r="G3" s="10" t="str">
        <f>IFERROR(__xludf.DUMMYFUNCTION("transpose(SPLIT(G2,"" , ""))"),"bowl_large.mp3")</f>
        <v>bowl_large.mp3</v>
      </c>
      <c r="H3" s="11" t="str">
        <f t="array" ref="H3:H99">IF(
    G3:G99&lt;&gt;"",
    IFERROR(
      XLOOKUP(G3:G99, survey!V2:V99, survey!C2:C99),
      XLOOKUP(G3:G99, choices!S2:S99, choices!C2:C99)
    ),
    ""
  )
</f>
        <v>Large Bowl</v>
      </c>
      <c r="I3" s="7"/>
      <c r="J3" s="8"/>
      <c r="K3" s="8"/>
      <c r="L3" s="8"/>
      <c r="M3" s="8"/>
      <c r="N3" s="8"/>
      <c r="O3" s="8"/>
      <c r="P3" s="8"/>
      <c r="Q3" s="8"/>
      <c r="R3" s="8"/>
      <c r="S3" s="8"/>
      <c r="T3" s="8"/>
      <c r="U3" s="8"/>
      <c r="V3" s="8"/>
      <c r="W3" s="8"/>
      <c r="X3" s="8"/>
      <c r="Y3" s="8"/>
      <c r="Z3" s="8"/>
    </row>
    <row r="4">
      <c r="A4" s="3"/>
      <c r="B4" s="4"/>
      <c r="C4" s="4"/>
      <c r="D4" s="5"/>
      <c r="E4" s="4"/>
      <c r="F4" s="5"/>
      <c r="G4" s="6" t="str">
        <f>IFERROR(__xludf.DUMMYFUNCTION("""COMPUTED_VALUE"""),"bowl_small.mp3")</f>
        <v>bowl_small.mp3</v>
      </c>
      <c r="H4" s="4" t="s">
        <v>14</v>
      </c>
      <c r="I4" s="7"/>
      <c r="J4" s="8"/>
      <c r="K4" s="8"/>
      <c r="L4" s="8"/>
      <c r="M4" s="8"/>
      <c r="N4" s="8"/>
      <c r="O4" s="8"/>
      <c r="P4" s="8"/>
      <c r="Q4" s="8"/>
      <c r="R4" s="8"/>
      <c r="S4" s="8"/>
      <c r="T4" s="8"/>
      <c r="U4" s="8"/>
      <c r="V4" s="8"/>
      <c r="W4" s="8"/>
      <c r="X4" s="8"/>
      <c r="Y4" s="8"/>
      <c r="Z4" s="8"/>
    </row>
    <row r="5">
      <c r="A5" s="8"/>
      <c r="B5" s="8"/>
      <c r="C5" s="8"/>
      <c r="D5" s="8"/>
      <c r="E5" s="12"/>
      <c r="F5" s="8"/>
      <c r="G5" s="13" t="str">
        <f>IFERROR(__xludf.DUMMYFUNCTION("""COMPUTED_VALUE"""),"bucket_10L.mp3")</f>
        <v>bucket_10L.mp3</v>
      </c>
      <c r="H5" s="8" t="s">
        <v>15</v>
      </c>
      <c r="I5" s="12"/>
      <c r="J5" s="8"/>
      <c r="K5" s="8"/>
      <c r="L5" s="8"/>
      <c r="M5" s="8"/>
      <c r="N5" s="8"/>
      <c r="O5" s="8"/>
      <c r="P5" s="8"/>
      <c r="Q5" s="8"/>
      <c r="R5" s="8"/>
      <c r="S5" s="8"/>
      <c r="T5" s="8"/>
      <c r="U5" s="8"/>
      <c r="V5" s="8"/>
      <c r="W5" s="8"/>
      <c r="X5" s="8"/>
      <c r="Y5" s="8"/>
      <c r="Z5" s="8"/>
    </row>
    <row r="6">
      <c r="A6" s="3"/>
      <c r="B6" s="8"/>
      <c r="C6" s="8"/>
      <c r="D6" s="8"/>
      <c r="E6" s="12"/>
      <c r="F6" s="8"/>
      <c r="G6" s="10" t="str">
        <f>IFERROR(__xludf.DUMMYFUNCTION("""COMPUTED_VALUE"""),"bucket_15L.mp3")</f>
        <v>bucket_15L.mp3</v>
      </c>
      <c r="H6" s="8" t="s">
        <v>16</v>
      </c>
      <c r="I6" s="12"/>
      <c r="J6" s="8"/>
      <c r="K6" s="8"/>
      <c r="L6" s="8"/>
      <c r="M6" s="8"/>
      <c r="N6" s="8"/>
      <c r="O6" s="8"/>
      <c r="P6" s="8"/>
      <c r="Q6" s="8"/>
      <c r="R6" s="8"/>
      <c r="S6" s="8"/>
      <c r="T6" s="8"/>
      <c r="U6" s="8"/>
      <c r="V6" s="8"/>
      <c r="W6" s="8"/>
      <c r="X6" s="8"/>
      <c r="Y6" s="8"/>
      <c r="Z6" s="8"/>
    </row>
    <row r="7">
      <c r="A7" s="8"/>
      <c r="B7" s="8"/>
      <c r="C7" s="8"/>
      <c r="D7" s="8"/>
      <c r="E7" s="12"/>
      <c r="F7" s="8"/>
      <c r="G7" s="10" t="str">
        <f>IFERROR(__xludf.DUMMYFUNCTION("""COMPUTED_VALUE"""),"bucket_20L.mp3")</f>
        <v>bucket_20L.mp3</v>
      </c>
      <c r="H7" s="8" t="s">
        <v>17</v>
      </c>
      <c r="I7" s="12"/>
      <c r="J7" s="8"/>
      <c r="K7" s="8"/>
      <c r="L7" s="8"/>
      <c r="M7" s="8"/>
      <c r="N7" s="8"/>
      <c r="O7" s="8"/>
      <c r="P7" s="8"/>
      <c r="Q7" s="8"/>
      <c r="R7" s="8"/>
      <c r="S7" s="8"/>
      <c r="T7" s="8"/>
      <c r="U7" s="8"/>
      <c r="V7" s="8"/>
      <c r="W7" s="8"/>
      <c r="X7" s="8"/>
      <c r="Y7" s="8"/>
      <c r="Z7" s="8"/>
    </row>
    <row r="8">
      <c r="A8" s="8"/>
      <c r="B8" s="8"/>
      <c r="C8" s="8"/>
      <c r="D8" s="8"/>
      <c r="E8" s="12"/>
      <c r="F8" s="8"/>
      <c r="G8" s="10" t="str">
        <f>IFERROR(__xludf.DUMMYFUNCTION("""COMPUTED_VALUE"""),"bucket_25L.mp3")</f>
        <v>bucket_25L.mp3</v>
      </c>
      <c r="H8" s="8" t="s">
        <v>18</v>
      </c>
      <c r="I8" s="12"/>
      <c r="J8" s="8"/>
      <c r="K8" s="8"/>
      <c r="L8" s="8"/>
      <c r="M8" s="8"/>
      <c r="N8" s="8"/>
      <c r="O8" s="8"/>
      <c r="P8" s="8"/>
      <c r="Q8" s="8"/>
      <c r="R8" s="8"/>
      <c r="S8" s="8"/>
      <c r="T8" s="8"/>
      <c r="U8" s="8"/>
      <c r="V8" s="8"/>
      <c r="W8" s="8"/>
      <c r="X8" s="8"/>
      <c r="Y8" s="8"/>
      <c r="Z8" s="8"/>
    </row>
    <row r="9">
      <c r="A9" s="8"/>
      <c r="B9" s="8"/>
      <c r="C9" s="8"/>
      <c r="D9" s="8"/>
      <c r="E9" s="12"/>
      <c r="F9" s="8"/>
      <c r="G9" s="10" t="str">
        <f>IFERROR(__xludf.DUMMYFUNCTION("""COMPUTED_VALUE"""),"container_other.mp3")</f>
        <v>container_other.mp3</v>
      </c>
      <c r="H9" s="8" t="s">
        <v>19</v>
      </c>
      <c r="I9" s="12"/>
      <c r="J9" s="8"/>
      <c r="K9" s="8"/>
      <c r="L9" s="8"/>
      <c r="M9" s="8"/>
      <c r="N9" s="8"/>
      <c r="O9" s="8"/>
      <c r="P9" s="8"/>
      <c r="Q9" s="8"/>
      <c r="R9" s="8"/>
      <c r="S9" s="8"/>
      <c r="T9" s="8"/>
      <c r="U9" s="8"/>
      <c r="V9" s="8"/>
      <c r="W9" s="8"/>
      <c r="X9" s="8"/>
      <c r="Y9" s="8"/>
      <c r="Z9" s="8"/>
    </row>
    <row r="10">
      <c r="A10" s="8"/>
      <c r="B10" s="8"/>
      <c r="C10" s="8"/>
      <c r="D10" s="8"/>
      <c r="E10" s="12"/>
      <c r="F10" s="8"/>
      <c r="G10" s="10" t="str">
        <f>IFERROR(__xludf.DUMMYFUNCTION("""COMPUTED_VALUE"""),"grafting.mp3")</f>
        <v>grafting.mp3</v>
      </c>
      <c r="H10" s="8" t="s">
        <v>20</v>
      </c>
      <c r="I10" s="12"/>
      <c r="J10" s="8"/>
      <c r="K10" s="8"/>
      <c r="L10" s="8"/>
      <c r="M10" s="8"/>
      <c r="N10" s="8"/>
      <c r="O10" s="8"/>
      <c r="P10" s="8"/>
      <c r="Q10" s="8"/>
      <c r="R10" s="8"/>
      <c r="S10" s="8"/>
      <c r="T10" s="8"/>
      <c r="U10" s="8"/>
      <c r="V10" s="8"/>
      <c r="W10" s="8"/>
      <c r="X10" s="8"/>
      <c r="Y10" s="8"/>
      <c r="Z10" s="8"/>
    </row>
    <row r="11">
      <c r="A11" s="8"/>
      <c r="B11" s="8"/>
      <c r="C11" s="8"/>
      <c r="D11" s="8"/>
      <c r="E11" s="12"/>
      <c r="F11" s="8"/>
      <c r="G11" s="10" t="str">
        <f>IFERROR(__xludf.DUMMYFUNCTION("""COMPUTED_VALUE"""),"mamadi.jpg")</f>
        <v>mamadi.jpg</v>
      </c>
      <c r="H11" s="8" t="e">
        <v>#N/A</v>
      </c>
      <c r="I11" s="12"/>
      <c r="J11" s="8"/>
      <c r="K11" s="8"/>
      <c r="L11" s="8"/>
      <c r="M11" s="8"/>
      <c r="N11" s="8"/>
      <c r="O11" s="8"/>
      <c r="P11" s="8"/>
      <c r="Q11" s="8"/>
      <c r="R11" s="8"/>
      <c r="S11" s="8"/>
      <c r="T11" s="8"/>
      <c r="U11" s="8"/>
      <c r="V11" s="8"/>
      <c r="W11" s="8"/>
      <c r="X11" s="8"/>
      <c r="Y11" s="8"/>
      <c r="Z11" s="8"/>
    </row>
    <row r="12">
      <c r="A12" s="8"/>
      <c r="B12" s="8"/>
      <c r="C12" s="8"/>
      <c r="D12" s="8"/>
      <c r="E12" s="12"/>
      <c r="F12" s="8"/>
      <c r="G12" s="10" t="str">
        <f>IFERROR(__xludf.DUMMYFUNCTION("""COMPUTED_VALUE"""),"pierre.jpg")</f>
        <v>pierre.jpg</v>
      </c>
      <c r="H12" s="8" t="e">
        <v>#N/A</v>
      </c>
      <c r="I12" s="12"/>
      <c r="J12" s="8"/>
      <c r="K12" s="8"/>
      <c r="L12" s="8"/>
      <c r="M12" s="8"/>
      <c r="N12" s="8"/>
      <c r="O12" s="8"/>
      <c r="P12" s="8"/>
      <c r="Q12" s="8"/>
      <c r="R12" s="8"/>
      <c r="S12" s="8"/>
      <c r="T12" s="8"/>
      <c r="U12" s="8"/>
      <c r="V12" s="8"/>
      <c r="W12" s="8"/>
      <c r="X12" s="8"/>
      <c r="Y12" s="8"/>
      <c r="Z12" s="8"/>
    </row>
    <row r="13">
      <c r="A13" s="8"/>
      <c r="B13" s="8"/>
      <c r="C13" s="8"/>
      <c r="D13" s="8"/>
      <c r="E13" s="12"/>
      <c r="F13" s="8"/>
      <c r="G13" s="10" t="str">
        <f>IFERROR(__xludf.DUMMYFUNCTION("""COMPUTED_VALUE"""),"q_graft_barcode_scan.mp3")</f>
        <v>q_graft_barcode_scan.mp3</v>
      </c>
      <c r="H13" s="8" t="s">
        <v>21</v>
      </c>
      <c r="I13" s="12"/>
      <c r="J13" s="8"/>
      <c r="K13" s="8"/>
      <c r="L13" s="8"/>
      <c r="M13" s="8"/>
      <c r="N13" s="8"/>
      <c r="O13" s="8"/>
      <c r="P13" s="8"/>
      <c r="Q13" s="8"/>
      <c r="R13" s="8"/>
      <c r="S13" s="8"/>
      <c r="T13" s="8"/>
      <c r="U13" s="8"/>
      <c r="V13" s="8"/>
      <c r="W13" s="8"/>
      <c r="X13" s="8"/>
      <c r="Y13" s="8"/>
      <c r="Z13" s="8"/>
    </row>
    <row r="14">
      <c r="A14" s="8"/>
      <c r="B14" s="8"/>
      <c r="C14" s="8"/>
      <c r="D14" s="8"/>
      <c r="E14" s="12"/>
      <c r="F14" s="8"/>
      <c r="G14" s="10" t="str">
        <f>IFERROR(__xludf.DUMMYFUNCTION("""COMPUTED_VALUE"""),"q_graft_gps_rootstock.mp3")</f>
        <v>q_graft_gps_rootstock.mp3</v>
      </c>
      <c r="H14" s="8" t="s">
        <v>22</v>
      </c>
      <c r="I14" s="12"/>
      <c r="J14" s="8"/>
      <c r="K14" s="8"/>
      <c r="L14" s="8"/>
      <c r="M14" s="8"/>
      <c r="N14" s="8"/>
      <c r="O14" s="8"/>
      <c r="P14" s="8"/>
      <c r="Q14" s="8"/>
      <c r="R14" s="8"/>
      <c r="S14" s="8"/>
      <c r="T14" s="8"/>
      <c r="U14" s="8"/>
      <c r="V14" s="8"/>
      <c r="W14" s="8"/>
      <c r="X14" s="8"/>
      <c r="Y14" s="8"/>
      <c r="Z14" s="8"/>
    </row>
    <row r="15">
      <c r="A15" s="8"/>
      <c r="B15" s="8"/>
      <c r="C15" s="8"/>
      <c r="D15" s="8"/>
      <c r="E15" s="12"/>
      <c r="F15" s="8"/>
      <c r="G15" s="10" t="str">
        <f>IFERROR(__xludf.DUMMYFUNCTION("""COMPUTED_VALUE"""),"q_graft_rootstock_name.mp3")</f>
        <v>q_graft_rootstock_name.mp3</v>
      </c>
      <c r="H15" s="8" t="s">
        <v>23</v>
      </c>
      <c r="I15" s="12"/>
      <c r="J15" s="8"/>
      <c r="K15" s="8"/>
      <c r="L15" s="8"/>
      <c r="M15" s="8"/>
      <c r="N15" s="8"/>
      <c r="O15" s="8"/>
      <c r="P15" s="8"/>
      <c r="Q15" s="8"/>
      <c r="R15" s="8"/>
      <c r="S15" s="8"/>
      <c r="T15" s="8"/>
      <c r="U15" s="8"/>
      <c r="V15" s="8"/>
      <c r="W15" s="8"/>
      <c r="X15" s="8"/>
      <c r="Y15" s="8"/>
      <c r="Z15" s="8"/>
    </row>
    <row r="16">
      <c r="A16" s="8"/>
      <c r="B16" s="8"/>
      <c r="C16" s="8"/>
      <c r="D16" s="8"/>
      <c r="E16" s="12"/>
      <c r="F16" s="8"/>
      <c r="G16" s="10" t="str">
        <f>IFERROR(__xludf.DUMMYFUNCTION("""COMPUTED_VALUE"""),"q_graft_rootstock_qty_10L.mp3")</f>
        <v>q_graft_rootstock_qty_10L.mp3</v>
      </c>
      <c r="H16" s="8" t="s">
        <v>24</v>
      </c>
      <c r="I16" s="12"/>
      <c r="J16" s="8"/>
      <c r="K16" s="8"/>
      <c r="L16" s="8"/>
      <c r="M16" s="8"/>
      <c r="N16" s="8"/>
      <c r="O16" s="8"/>
      <c r="P16" s="8"/>
      <c r="Q16" s="8"/>
      <c r="R16" s="8"/>
      <c r="S16" s="8"/>
      <c r="T16" s="8"/>
      <c r="U16" s="8"/>
      <c r="V16" s="8"/>
      <c r="W16" s="8"/>
      <c r="X16" s="8"/>
      <c r="Y16" s="8"/>
      <c r="Z16" s="8"/>
    </row>
    <row r="17">
      <c r="A17" s="8"/>
      <c r="B17" s="8"/>
      <c r="C17" s="8"/>
      <c r="D17" s="8"/>
      <c r="E17" s="12"/>
      <c r="F17" s="8"/>
      <c r="G17" s="10" t="str">
        <f>IFERROR(__xludf.DUMMYFUNCTION("""COMPUTED_VALUE"""),"q_graft_rootstock_qty_15L.mp3")</f>
        <v>q_graft_rootstock_qty_15L.mp3</v>
      </c>
      <c r="H17" s="8" t="s">
        <v>25</v>
      </c>
      <c r="I17" s="12"/>
      <c r="J17" s="8"/>
      <c r="K17" s="8"/>
      <c r="L17" s="8"/>
      <c r="M17" s="8"/>
      <c r="N17" s="8"/>
      <c r="O17" s="8"/>
      <c r="P17" s="8"/>
      <c r="Q17" s="8"/>
      <c r="R17" s="8"/>
      <c r="S17" s="8"/>
      <c r="T17" s="8"/>
      <c r="U17" s="8"/>
      <c r="V17" s="8"/>
      <c r="W17" s="8"/>
      <c r="X17" s="8"/>
      <c r="Y17" s="8"/>
      <c r="Z17" s="8"/>
    </row>
    <row r="18">
      <c r="A18" s="8"/>
      <c r="B18" s="8"/>
      <c r="C18" s="8"/>
      <c r="D18" s="8"/>
      <c r="E18" s="12"/>
      <c r="F18" s="8"/>
      <c r="G18" s="10" t="str">
        <f>IFERROR(__xludf.DUMMYFUNCTION("""COMPUTED_VALUE"""),"q_graft_rootstock_qty_20L.mp3")</f>
        <v>q_graft_rootstock_qty_20L.mp3</v>
      </c>
      <c r="H18" s="8" t="s">
        <v>26</v>
      </c>
      <c r="I18" s="12"/>
      <c r="J18" s="8"/>
      <c r="K18" s="8"/>
      <c r="L18" s="8"/>
      <c r="M18" s="8"/>
      <c r="N18" s="8"/>
      <c r="O18" s="8"/>
      <c r="P18" s="8"/>
      <c r="Q18" s="8"/>
      <c r="R18" s="8"/>
      <c r="S18" s="8"/>
      <c r="T18" s="8"/>
      <c r="U18" s="8"/>
      <c r="V18" s="8"/>
      <c r="W18" s="8"/>
      <c r="X18" s="8"/>
      <c r="Y18" s="8"/>
      <c r="Z18" s="8"/>
    </row>
    <row r="19">
      <c r="A19" s="8"/>
      <c r="B19" s="8"/>
      <c r="C19" s="8"/>
      <c r="D19" s="8"/>
      <c r="E19" s="12"/>
      <c r="F19" s="8"/>
      <c r="G19" s="10" t="str">
        <f>IFERROR(__xludf.DUMMYFUNCTION("""COMPUTED_VALUE"""),"q_graft_rootstock_qty_25L.mp3")</f>
        <v>q_graft_rootstock_qty_25L.mp3</v>
      </c>
      <c r="H19" s="8" t="s">
        <v>27</v>
      </c>
      <c r="I19" s="12"/>
      <c r="J19" s="8"/>
      <c r="K19" s="8"/>
      <c r="L19" s="8"/>
      <c r="M19" s="8"/>
      <c r="N19" s="8"/>
      <c r="O19" s="8"/>
      <c r="P19" s="8"/>
      <c r="Q19" s="8"/>
      <c r="R19" s="8"/>
      <c r="S19" s="8"/>
      <c r="T19" s="8"/>
      <c r="U19" s="8"/>
      <c r="V19" s="8"/>
      <c r="W19" s="8"/>
      <c r="X19" s="8"/>
      <c r="Y19" s="8"/>
      <c r="Z19" s="8"/>
    </row>
    <row r="20">
      <c r="A20" s="8"/>
      <c r="B20" s="8"/>
      <c r="C20" s="8"/>
      <c r="D20" s="8"/>
      <c r="E20" s="12"/>
      <c r="F20" s="8"/>
      <c r="G20" s="10" t="str">
        <f>IFERROR(__xludf.DUMMYFUNCTION("""COMPUTED_VALUE"""),"q_graft_rootstock_qty_bowl_large.mp3")</f>
        <v>q_graft_rootstock_qty_bowl_large.mp3</v>
      </c>
      <c r="H20" s="8" t="s">
        <v>28</v>
      </c>
      <c r="I20" s="12"/>
      <c r="J20" s="8"/>
      <c r="K20" s="8"/>
      <c r="L20" s="8"/>
      <c r="M20" s="8"/>
      <c r="N20" s="8"/>
      <c r="O20" s="8"/>
      <c r="P20" s="8"/>
      <c r="Q20" s="8"/>
      <c r="R20" s="8"/>
      <c r="S20" s="8"/>
      <c r="T20" s="8"/>
      <c r="U20" s="8"/>
      <c r="V20" s="8"/>
      <c r="W20" s="8"/>
      <c r="X20" s="8"/>
      <c r="Y20" s="8"/>
      <c r="Z20" s="8"/>
    </row>
    <row r="21">
      <c r="A21" s="8"/>
      <c r="B21" s="8"/>
      <c r="C21" s="8"/>
      <c r="D21" s="8"/>
      <c r="E21" s="12"/>
      <c r="F21" s="8"/>
      <c r="G21" s="10" t="str">
        <f>IFERROR(__xludf.DUMMYFUNCTION("""COMPUTED_VALUE"""),"q_graft_rootstock_qty_bowl_small.mp3")</f>
        <v>q_graft_rootstock_qty_bowl_small.mp3</v>
      </c>
      <c r="H21" s="8" t="s">
        <v>29</v>
      </c>
      <c r="I21" s="12"/>
      <c r="J21" s="8"/>
      <c r="K21" s="8"/>
      <c r="L21" s="8"/>
      <c r="M21" s="8"/>
      <c r="N21" s="8"/>
      <c r="O21" s="8"/>
      <c r="P21" s="8"/>
      <c r="Q21" s="8"/>
      <c r="R21" s="8"/>
      <c r="S21" s="8"/>
      <c r="T21" s="8"/>
      <c r="U21" s="8"/>
      <c r="V21" s="8"/>
      <c r="W21" s="8"/>
      <c r="X21" s="8"/>
      <c r="Y21" s="8"/>
      <c r="Z21" s="8"/>
    </row>
    <row r="22">
      <c r="A22" s="8"/>
      <c r="B22" s="8"/>
      <c r="C22" s="8"/>
      <c r="D22" s="8"/>
      <c r="E22" s="12"/>
      <c r="F22" s="8"/>
      <c r="G22" s="10" t="str">
        <f>IFERROR(__xludf.DUMMYFUNCTION("""COMPUTED_VALUE"""),"q_graft_rootstock_qty_other.mp3")</f>
        <v>q_graft_rootstock_qty_other.mp3</v>
      </c>
      <c r="H22" s="8" t="s">
        <v>30</v>
      </c>
      <c r="I22" s="12"/>
      <c r="J22" s="8"/>
      <c r="K22" s="8"/>
      <c r="L22" s="8"/>
      <c r="M22" s="8"/>
      <c r="N22" s="8"/>
      <c r="O22" s="8"/>
      <c r="P22" s="8"/>
      <c r="Q22" s="8"/>
      <c r="R22" s="8"/>
      <c r="S22" s="8"/>
      <c r="T22" s="8"/>
      <c r="U22" s="8"/>
      <c r="V22" s="8"/>
      <c r="W22" s="8"/>
      <c r="X22" s="8"/>
      <c r="Y22" s="8"/>
      <c r="Z22" s="8"/>
    </row>
    <row r="23">
      <c r="A23" s="8"/>
      <c r="B23" s="8"/>
      <c r="C23" s="8"/>
      <c r="D23" s="8"/>
      <c r="E23" s="12"/>
      <c r="F23" s="8"/>
      <c r="G23" s="10" t="str">
        <f>IFERROR(__xludf.DUMMYFUNCTION("""COMPUTED_VALUE"""),"q_graft_rootstock_qty_sac_long.mp3")</f>
        <v>q_graft_rootstock_qty_sac_long.mp3</v>
      </c>
      <c r="H23" s="8" t="s">
        <v>31</v>
      </c>
      <c r="I23" s="12"/>
      <c r="J23" s="8"/>
      <c r="K23" s="8"/>
      <c r="L23" s="8"/>
      <c r="M23" s="8"/>
      <c r="N23" s="8"/>
      <c r="O23" s="8"/>
      <c r="P23" s="8"/>
      <c r="Q23" s="8"/>
      <c r="R23" s="8"/>
      <c r="S23" s="8"/>
      <c r="T23" s="8"/>
      <c r="U23" s="8"/>
      <c r="V23" s="8"/>
      <c r="W23" s="8"/>
      <c r="X23" s="8"/>
      <c r="Y23" s="8"/>
      <c r="Z23" s="8"/>
    </row>
    <row r="24">
      <c r="A24" s="8"/>
      <c r="B24" s="8"/>
      <c r="C24" s="8"/>
      <c r="D24" s="8"/>
      <c r="E24" s="12"/>
      <c r="F24" s="8"/>
      <c r="G24" s="10" t="str">
        <f>IFERROR(__xludf.DUMMYFUNCTION("""COMPUTED_VALUE"""),"q_graft_rootstock_qty_sac_small.mp3")</f>
        <v>q_graft_rootstock_qty_sac_small.mp3</v>
      </c>
      <c r="H24" s="8" t="s">
        <v>32</v>
      </c>
      <c r="I24" s="12"/>
      <c r="J24" s="8"/>
      <c r="K24" s="8"/>
      <c r="L24" s="8"/>
      <c r="M24" s="8"/>
      <c r="N24" s="8"/>
      <c r="O24" s="8"/>
      <c r="P24" s="8"/>
      <c r="Q24" s="8"/>
      <c r="R24" s="8"/>
      <c r="S24" s="8"/>
      <c r="T24" s="8"/>
      <c r="U24" s="8"/>
      <c r="V24" s="8"/>
      <c r="W24" s="8"/>
      <c r="X24" s="8"/>
      <c r="Y24" s="8"/>
      <c r="Z24" s="8"/>
    </row>
    <row r="25">
      <c r="A25" s="8"/>
      <c r="B25" s="8"/>
      <c r="C25" s="8"/>
      <c r="D25" s="8"/>
      <c r="E25" s="12"/>
      <c r="F25" s="8"/>
      <c r="G25" s="10" t="str">
        <f>IFERROR(__xludf.DUMMYFUNCTION("""COMPUTED_VALUE"""),"q_graft_rootstock_same_species.mp3")</f>
        <v>q_graft_rootstock_same_species.mp3</v>
      </c>
      <c r="H25" s="8" t="s">
        <v>33</v>
      </c>
      <c r="I25" s="12"/>
      <c r="J25" s="8"/>
      <c r="K25" s="8"/>
      <c r="L25" s="8"/>
      <c r="M25" s="8"/>
      <c r="N25" s="8"/>
      <c r="O25" s="8"/>
      <c r="P25" s="8"/>
      <c r="Q25" s="8"/>
      <c r="R25" s="8"/>
      <c r="S25" s="8"/>
      <c r="T25" s="8"/>
      <c r="U25" s="8"/>
      <c r="V25" s="8"/>
      <c r="W25" s="8"/>
      <c r="X25" s="8"/>
      <c r="Y25" s="8"/>
      <c r="Z25" s="8"/>
    </row>
    <row r="26">
      <c r="A26" s="8"/>
      <c r="B26" s="8"/>
      <c r="C26" s="8"/>
      <c r="D26" s="8"/>
      <c r="E26" s="12"/>
      <c r="F26" s="8"/>
      <c r="G26" s="10" t="str">
        <f>IFERROR(__xludf.DUMMYFUNCTION("""COMPUTED_VALUE"""),"q_graft_rootstock_scan.mp3")</f>
        <v>q_graft_rootstock_scan.mp3</v>
      </c>
      <c r="H26" s="8" t="s">
        <v>34</v>
      </c>
      <c r="I26" s="12"/>
      <c r="J26" s="8"/>
      <c r="K26" s="8"/>
      <c r="L26" s="8"/>
      <c r="M26" s="8"/>
      <c r="N26" s="8"/>
      <c r="O26" s="8"/>
      <c r="P26" s="8"/>
      <c r="Q26" s="8"/>
      <c r="R26" s="8"/>
      <c r="S26" s="8"/>
      <c r="T26" s="8"/>
      <c r="U26" s="8"/>
      <c r="V26" s="8"/>
      <c r="W26" s="8"/>
      <c r="X26" s="8"/>
      <c r="Y26" s="8"/>
      <c r="Z26" s="8"/>
    </row>
    <row r="27">
      <c r="A27" s="8"/>
      <c r="B27" s="8"/>
      <c r="C27" s="8"/>
      <c r="D27" s="8"/>
      <c r="E27" s="12"/>
      <c r="F27" s="8"/>
      <c r="G27" s="10" t="str">
        <f>IFERROR(__xludf.DUMMYFUNCTION("""COMPUTED_VALUE"""),"q_graft_rootstock_which_containers.mp3")</f>
        <v>q_graft_rootstock_which_containers.mp3</v>
      </c>
      <c r="H27" s="8" t="s">
        <v>35</v>
      </c>
      <c r="I27" s="12"/>
      <c r="J27" s="8"/>
      <c r="K27" s="8"/>
      <c r="L27" s="8"/>
      <c r="M27" s="8"/>
      <c r="N27" s="8"/>
      <c r="O27" s="8"/>
      <c r="P27" s="8"/>
      <c r="Q27" s="8"/>
      <c r="R27" s="8"/>
      <c r="S27" s="8"/>
      <c r="T27" s="8"/>
      <c r="U27" s="8"/>
      <c r="V27" s="8"/>
      <c r="W27" s="8"/>
      <c r="X27" s="8"/>
      <c r="Y27" s="8"/>
      <c r="Z27" s="8"/>
    </row>
    <row r="28">
      <c r="A28" s="8"/>
      <c r="B28" s="8"/>
      <c r="C28" s="8"/>
      <c r="D28" s="8"/>
      <c r="E28" s="12"/>
      <c r="F28" s="8"/>
      <c r="G28" s="10" t="str">
        <f>IFERROR(__xludf.DUMMYFUNCTION("""COMPUTED_VALUE"""),"q_graft_type.mp3")</f>
        <v>q_graft_type.mp3</v>
      </c>
      <c r="H28" s="8" t="s">
        <v>36</v>
      </c>
      <c r="I28" s="12"/>
      <c r="J28" s="8"/>
      <c r="K28" s="8"/>
      <c r="L28" s="8"/>
      <c r="M28" s="8"/>
      <c r="N28" s="8"/>
      <c r="O28" s="8"/>
      <c r="P28" s="8"/>
      <c r="Q28" s="8"/>
      <c r="R28" s="8"/>
      <c r="S28" s="8"/>
      <c r="T28" s="8"/>
      <c r="U28" s="8"/>
      <c r="V28" s="8"/>
      <c r="W28" s="8"/>
      <c r="X28" s="8"/>
      <c r="Y28" s="8"/>
      <c r="Z28" s="8"/>
    </row>
    <row r="29">
      <c r="A29" s="8"/>
      <c r="B29" s="8"/>
      <c r="C29" s="8"/>
      <c r="D29" s="8"/>
      <c r="E29" s="12"/>
      <c r="F29" s="8"/>
      <c r="G29" s="10" t="str">
        <f>IFERROR(__xludf.DUMMYFUNCTION("""COMPUTED_VALUE"""),"q_graft_unknown_seedling_nursery.mp3")</f>
        <v>q_graft_unknown_seedling_nursery.mp3</v>
      </c>
      <c r="H29" s="8" t="s">
        <v>37</v>
      </c>
      <c r="I29" s="12"/>
      <c r="J29" s="8"/>
      <c r="K29" s="8"/>
      <c r="L29" s="8"/>
      <c r="M29" s="8"/>
      <c r="N29" s="8"/>
      <c r="O29" s="8"/>
      <c r="P29" s="8"/>
      <c r="Q29" s="8"/>
      <c r="R29" s="8"/>
      <c r="S29" s="8"/>
      <c r="T29" s="8"/>
      <c r="U29" s="8"/>
      <c r="V29" s="8"/>
      <c r="W29" s="8"/>
      <c r="X29" s="8"/>
      <c r="Y29" s="8"/>
      <c r="Z29" s="8"/>
    </row>
    <row r="30">
      <c r="A30" s="8"/>
      <c r="B30" s="8"/>
      <c r="C30" s="8"/>
      <c r="D30" s="8"/>
      <c r="E30" s="12"/>
      <c r="F30" s="8"/>
      <c r="G30" s="10" t="str">
        <f>IFERROR(__xludf.DUMMYFUNCTION("""COMPUTED_VALUE"""),"q_graft_who.mp3")</f>
        <v>q_graft_who.mp3</v>
      </c>
      <c r="H30" s="8" t="s">
        <v>38</v>
      </c>
      <c r="I30" s="12"/>
      <c r="J30" s="8"/>
      <c r="K30" s="8"/>
      <c r="L30" s="8"/>
      <c r="M30" s="8"/>
      <c r="N30" s="8"/>
      <c r="O30" s="8"/>
      <c r="P30" s="8"/>
      <c r="Q30" s="8"/>
      <c r="R30" s="8"/>
      <c r="S30" s="8"/>
      <c r="T30" s="8"/>
      <c r="U30" s="8"/>
      <c r="V30" s="8"/>
      <c r="W30" s="8"/>
      <c r="X30" s="8"/>
      <c r="Y30" s="8"/>
      <c r="Z30" s="8"/>
    </row>
    <row r="31">
      <c r="A31" s="8"/>
      <c r="B31" s="8"/>
      <c r="C31" s="8"/>
      <c r="D31" s="8"/>
      <c r="E31" s="12"/>
      <c r="F31" s="8"/>
      <c r="G31" s="10" t="str">
        <f>IFERROR(__xludf.DUMMYFUNCTION("""COMPUTED_VALUE"""),"q_photo_graft_scion_tip.mp3")</f>
        <v>q_photo_graft_scion_tip.mp3</v>
      </c>
      <c r="H31" s="8" t="s">
        <v>39</v>
      </c>
      <c r="I31" s="12"/>
      <c r="J31" s="8"/>
      <c r="K31" s="8"/>
      <c r="L31" s="8"/>
      <c r="M31" s="8"/>
      <c r="N31" s="8"/>
      <c r="O31" s="8"/>
      <c r="P31" s="8"/>
      <c r="Q31" s="8"/>
      <c r="R31" s="8"/>
      <c r="S31" s="8"/>
      <c r="T31" s="8"/>
      <c r="U31" s="8"/>
      <c r="V31" s="8"/>
      <c r="W31" s="8"/>
      <c r="X31" s="8"/>
      <c r="Y31" s="8"/>
      <c r="Z31" s="8"/>
    </row>
    <row r="32">
      <c r="A32" s="8"/>
      <c r="B32" s="8"/>
      <c r="C32" s="8"/>
      <c r="D32" s="8"/>
      <c r="E32" s="12"/>
      <c r="F32" s="8"/>
      <c r="G32" s="10" t="str">
        <f>IFERROR(__xludf.DUMMYFUNCTION("""COMPUTED_VALUE"""),"q_photo_graft_union.mp3")</f>
        <v>q_photo_graft_union.mp3</v>
      </c>
      <c r="H32" s="8" t="s">
        <v>40</v>
      </c>
      <c r="I32" s="12"/>
      <c r="J32" s="8"/>
      <c r="K32" s="8"/>
      <c r="L32" s="8"/>
      <c r="M32" s="8"/>
      <c r="N32" s="8"/>
      <c r="O32" s="8"/>
      <c r="P32" s="8"/>
      <c r="Q32" s="8"/>
      <c r="R32" s="8"/>
      <c r="S32" s="8"/>
      <c r="T32" s="8"/>
      <c r="U32" s="8"/>
      <c r="V32" s="8"/>
      <c r="W32" s="8"/>
      <c r="X32" s="8"/>
      <c r="Y32" s="8"/>
      <c r="Z32" s="8"/>
    </row>
    <row r="33">
      <c r="A33" s="8"/>
      <c r="B33" s="8"/>
      <c r="C33" s="8"/>
      <c r="D33" s="8"/>
      <c r="E33" s="12"/>
      <c r="F33" s="8"/>
      <c r="G33" s="10" t="str">
        <f>IFERROR(__xludf.DUMMYFUNCTION("""COMPUTED_VALUE"""),"q_scion_really_ready.mp3")</f>
        <v>q_scion_really_ready.mp3</v>
      </c>
      <c r="H33" s="8" t="s">
        <v>41</v>
      </c>
      <c r="I33" s="12"/>
      <c r="J33" s="8"/>
      <c r="K33" s="8"/>
      <c r="L33" s="8"/>
      <c r="M33" s="8"/>
      <c r="N33" s="8"/>
      <c r="O33" s="8"/>
      <c r="P33" s="8"/>
      <c r="Q33" s="8"/>
      <c r="R33" s="8"/>
      <c r="S33" s="8"/>
      <c r="T33" s="8"/>
      <c r="U33" s="8"/>
      <c r="V33" s="8"/>
      <c r="W33" s="8"/>
      <c r="X33" s="8"/>
      <c r="Y33" s="8"/>
      <c r="Z33" s="8"/>
    </row>
    <row r="34">
      <c r="A34" s="8"/>
      <c r="B34" s="8"/>
      <c r="C34" s="8"/>
      <c r="D34" s="8"/>
      <c r="E34" s="12"/>
      <c r="F34" s="8"/>
      <c r="G34" s="10" t="str">
        <f>IFERROR(__xludf.DUMMYFUNCTION("""COMPUTED_VALUE"""),"q_when_graft.mp3")</f>
        <v>q_when_graft.mp3</v>
      </c>
      <c r="H34" s="8" t="s">
        <v>42</v>
      </c>
      <c r="I34" s="12"/>
      <c r="J34" s="8"/>
      <c r="K34" s="8"/>
      <c r="L34" s="8"/>
      <c r="M34" s="8"/>
      <c r="N34" s="8"/>
      <c r="O34" s="8"/>
      <c r="P34" s="8"/>
      <c r="Q34" s="8"/>
      <c r="R34" s="8"/>
      <c r="S34" s="8"/>
      <c r="T34" s="8"/>
      <c r="U34" s="8"/>
      <c r="V34" s="8"/>
      <c r="W34" s="8"/>
      <c r="X34" s="8"/>
      <c r="Y34" s="8"/>
      <c r="Z34" s="8"/>
    </row>
    <row r="35">
      <c r="A35" s="8"/>
      <c r="B35" s="8"/>
      <c r="C35" s="8"/>
      <c r="D35" s="8"/>
      <c r="E35" s="12"/>
      <c r="F35" s="8"/>
      <c r="G35" s="10" t="str">
        <f>IFERROR(__xludf.DUMMYFUNCTION("""COMPUTED_VALUE"""),"r_new")</f>
        <v>r_new</v>
      </c>
      <c r="H35" s="8" t="e">
        <v>#N/A</v>
      </c>
      <c r="I35" s="12"/>
      <c r="J35" s="8"/>
      <c r="K35" s="8"/>
      <c r="L35" s="8"/>
      <c r="M35" s="8"/>
      <c r="N35" s="8"/>
      <c r="O35" s="8"/>
      <c r="P35" s="8"/>
      <c r="Q35" s="8"/>
      <c r="R35" s="8"/>
      <c r="S35" s="8"/>
      <c r="T35" s="8"/>
      <c r="U35" s="8"/>
      <c r="V35" s="8"/>
      <c r="W35" s="8"/>
      <c r="X35" s="8"/>
      <c r="Y35" s="8"/>
      <c r="Z35" s="8"/>
    </row>
    <row r="36">
      <c r="A36" s="8"/>
      <c r="B36" s="8"/>
      <c r="C36" s="8"/>
      <c r="D36" s="8"/>
      <c r="E36" s="12"/>
      <c r="F36" s="8"/>
      <c r="G36" s="10" t="str">
        <f>IFERROR(__xludf.DUMMYFUNCTION("""COMPUTED_VALUE"""),"leaves.mp3")</f>
        <v>leaves.mp3</v>
      </c>
      <c r="H36" s="8" t="e">
        <v>#N/A</v>
      </c>
      <c r="I36" s="12"/>
      <c r="J36" s="8"/>
      <c r="K36" s="8"/>
      <c r="L36" s="8"/>
      <c r="M36" s="8"/>
      <c r="N36" s="8"/>
      <c r="O36" s="8"/>
      <c r="P36" s="8"/>
      <c r="Q36" s="8"/>
      <c r="R36" s="8"/>
      <c r="S36" s="8"/>
      <c r="T36" s="8"/>
      <c r="U36" s="8"/>
      <c r="V36" s="8"/>
      <c r="W36" s="8"/>
      <c r="X36" s="8"/>
      <c r="Y36" s="8"/>
      <c r="Z36" s="8"/>
    </row>
    <row r="37">
      <c r="A37" s="8"/>
      <c r="B37" s="8"/>
      <c r="C37" s="8"/>
      <c r="D37" s="8"/>
      <c r="E37" s="12"/>
      <c r="F37" s="8"/>
      <c r="G37" s="10" t="str">
        <f>IFERROR(__xludf.DUMMYFUNCTION("""COMPUTED_VALUE"""),"sac_long.mp3")</f>
        <v>sac_long.mp3</v>
      </c>
      <c r="H37" s="8" t="s">
        <v>43</v>
      </c>
      <c r="I37" s="12"/>
      <c r="J37" s="8"/>
      <c r="K37" s="8"/>
      <c r="L37" s="8"/>
      <c r="M37" s="8"/>
      <c r="N37" s="8"/>
      <c r="O37" s="8"/>
      <c r="P37" s="8"/>
      <c r="Q37" s="8"/>
      <c r="R37" s="8"/>
      <c r="S37" s="8"/>
      <c r="T37" s="8"/>
      <c r="U37" s="8"/>
      <c r="V37" s="8"/>
      <c r="W37" s="8"/>
      <c r="X37" s="8"/>
      <c r="Y37" s="8"/>
      <c r="Z37" s="8"/>
    </row>
    <row r="38">
      <c r="A38" s="8"/>
      <c r="B38" s="8"/>
      <c r="C38" s="8"/>
      <c r="D38" s="8"/>
      <c r="E38" s="12"/>
      <c r="F38" s="8"/>
      <c r="G38" s="10" t="str">
        <f>IFERROR(__xludf.DUMMYFUNCTION("""COMPUTED_VALUE"""),"sac_small.mp3")</f>
        <v>sac_small.mp3</v>
      </c>
      <c r="H38" s="8" t="s">
        <v>44</v>
      </c>
      <c r="I38" s="12"/>
      <c r="J38" s="8"/>
      <c r="K38" s="8"/>
      <c r="L38" s="8"/>
      <c r="M38" s="8"/>
      <c r="N38" s="8"/>
      <c r="O38" s="8"/>
      <c r="P38" s="8"/>
      <c r="Q38" s="8"/>
      <c r="R38" s="8"/>
      <c r="S38" s="8"/>
      <c r="T38" s="8"/>
      <c r="U38" s="8"/>
      <c r="V38" s="8"/>
      <c r="W38" s="8"/>
      <c r="X38" s="8"/>
      <c r="Y38" s="8"/>
      <c r="Z38" s="8"/>
    </row>
    <row r="39">
      <c r="A39" s="8"/>
      <c r="B39" s="8"/>
      <c r="C39" s="8"/>
      <c r="D39" s="8"/>
      <c r="E39" s="12"/>
      <c r="F39" s="8"/>
      <c r="G39" s="10" t="str">
        <f>IFERROR(__xludf.DUMMYFUNCTION("""COMPUTED_VALUE"""),"tyler1.jpg")</f>
        <v>tyler1.jpg</v>
      </c>
      <c r="H39" s="8" t="e">
        <v>#N/A</v>
      </c>
      <c r="I39" s="12"/>
      <c r="J39" s="8"/>
      <c r="K39" s="8"/>
      <c r="L39" s="8"/>
      <c r="M39" s="8"/>
      <c r="N39" s="8"/>
      <c r="O39" s="8"/>
      <c r="P39" s="8"/>
      <c r="Q39" s="8"/>
      <c r="R39" s="8"/>
      <c r="S39" s="8"/>
      <c r="T39" s="8"/>
      <c r="U39" s="8"/>
      <c r="V39" s="8"/>
      <c r="W39" s="8"/>
      <c r="X39" s="8"/>
      <c r="Y39" s="8"/>
      <c r="Z39" s="8"/>
    </row>
    <row r="40">
      <c r="A40" s="8"/>
      <c r="B40" s="8"/>
      <c r="C40" s="8"/>
      <c r="D40" s="8"/>
      <c r="E40" s="12"/>
      <c r="F40" s="8"/>
      <c r="G40" s="10"/>
      <c r="H40" s="8" t="s">
        <v>45</v>
      </c>
      <c r="I40" s="12"/>
      <c r="J40" s="8"/>
      <c r="K40" s="8"/>
      <c r="L40" s="8"/>
      <c r="M40" s="8"/>
      <c r="N40" s="8"/>
      <c r="O40" s="8"/>
      <c r="P40" s="8"/>
      <c r="Q40" s="8"/>
      <c r="R40" s="8"/>
      <c r="S40" s="8"/>
      <c r="T40" s="8"/>
      <c r="U40" s="8"/>
      <c r="V40" s="8"/>
      <c r="W40" s="8"/>
      <c r="X40" s="8"/>
      <c r="Y40" s="8"/>
      <c r="Z40" s="8"/>
    </row>
    <row r="41">
      <c r="A41" s="8"/>
      <c r="B41" s="8"/>
      <c r="C41" s="8"/>
      <c r="D41" s="8"/>
      <c r="E41" s="12"/>
      <c r="F41" s="8"/>
      <c r="G41" s="10"/>
      <c r="H41" s="8" t="s">
        <v>45</v>
      </c>
      <c r="I41" s="12"/>
      <c r="J41" s="8"/>
      <c r="K41" s="8"/>
      <c r="L41" s="8"/>
      <c r="M41" s="8"/>
      <c r="N41" s="8"/>
      <c r="O41" s="8"/>
      <c r="P41" s="8"/>
      <c r="Q41" s="8"/>
      <c r="R41" s="8"/>
      <c r="S41" s="8"/>
      <c r="T41" s="8"/>
      <c r="U41" s="8"/>
      <c r="V41" s="8"/>
      <c r="W41" s="8"/>
      <c r="X41" s="8"/>
      <c r="Y41" s="8"/>
      <c r="Z41" s="8"/>
    </row>
    <row r="42">
      <c r="A42" s="8"/>
      <c r="B42" s="8"/>
      <c r="C42" s="8"/>
      <c r="D42" s="8"/>
      <c r="E42" s="12"/>
      <c r="F42" s="8"/>
      <c r="G42" s="10"/>
      <c r="H42" s="8" t="s">
        <v>45</v>
      </c>
      <c r="I42" s="12"/>
      <c r="J42" s="8"/>
      <c r="K42" s="8"/>
      <c r="L42" s="8"/>
      <c r="M42" s="8"/>
      <c r="N42" s="8"/>
      <c r="O42" s="8"/>
      <c r="P42" s="8"/>
      <c r="Q42" s="8"/>
      <c r="R42" s="8"/>
      <c r="S42" s="8"/>
      <c r="T42" s="8"/>
      <c r="U42" s="8"/>
      <c r="V42" s="8"/>
      <c r="W42" s="8"/>
      <c r="X42" s="8"/>
      <c r="Y42" s="8"/>
      <c r="Z42" s="8"/>
    </row>
    <row r="43">
      <c r="A43" s="8"/>
      <c r="B43" s="8"/>
      <c r="C43" s="8"/>
      <c r="D43" s="8"/>
      <c r="E43" s="12"/>
      <c r="F43" s="8"/>
      <c r="G43" s="10"/>
      <c r="H43" s="8" t="s">
        <v>45</v>
      </c>
      <c r="I43" s="12"/>
      <c r="J43" s="8"/>
      <c r="K43" s="8"/>
      <c r="L43" s="8"/>
      <c r="M43" s="8"/>
      <c r="N43" s="8"/>
      <c r="O43" s="8"/>
      <c r="P43" s="8"/>
      <c r="Q43" s="8"/>
      <c r="R43" s="8"/>
      <c r="S43" s="8"/>
      <c r="T43" s="8"/>
      <c r="U43" s="8"/>
      <c r="V43" s="8"/>
      <c r="W43" s="8"/>
      <c r="X43" s="8"/>
      <c r="Y43" s="8"/>
      <c r="Z43" s="8"/>
    </row>
    <row r="44">
      <c r="A44" s="8"/>
      <c r="B44" s="8"/>
      <c r="C44" s="8"/>
      <c r="D44" s="8"/>
      <c r="E44" s="12"/>
      <c r="F44" s="8"/>
      <c r="G44" s="10"/>
      <c r="H44" s="8" t="s">
        <v>45</v>
      </c>
      <c r="I44" s="12"/>
      <c r="J44" s="8"/>
      <c r="K44" s="8"/>
      <c r="L44" s="8"/>
      <c r="M44" s="8"/>
      <c r="N44" s="8"/>
      <c r="O44" s="8"/>
      <c r="P44" s="8"/>
      <c r="Q44" s="8"/>
      <c r="R44" s="8"/>
      <c r="S44" s="8"/>
      <c r="T44" s="8"/>
      <c r="U44" s="8"/>
      <c r="V44" s="8"/>
      <c r="W44" s="8"/>
      <c r="X44" s="8"/>
      <c r="Y44" s="8"/>
      <c r="Z44" s="8"/>
    </row>
    <row r="45">
      <c r="A45" s="8"/>
      <c r="B45" s="8"/>
      <c r="C45" s="8"/>
      <c r="D45" s="8"/>
      <c r="E45" s="12"/>
      <c r="F45" s="8"/>
      <c r="G45" s="10"/>
      <c r="H45" s="8" t="s">
        <v>45</v>
      </c>
      <c r="I45" s="12"/>
      <c r="J45" s="8"/>
      <c r="K45" s="8"/>
      <c r="L45" s="8"/>
      <c r="M45" s="8"/>
      <c r="N45" s="8"/>
      <c r="O45" s="8"/>
      <c r="P45" s="8"/>
      <c r="Q45" s="8"/>
      <c r="R45" s="8"/>
      <c r="S45" s="8"/>
      <c r="T45" s="8"/>
      <c r="U45" s="8"/>
      <c r="V45" s="8"/>
      <c r="W45" s="8"/>
      <c r="X45" s="8"/>
      <c r="Y45" s="8"/>
      <c r="Z45" s="8"/>
    </row>
    <row r="46">
      <c r="A46" s="8"/>
      <c r="B46" s="8"/>
      <c r="C46" s="8"/>
      <c r="D46" s="8"/>
      <c r="E46" s="12"/>
      <c r="F46" s="8"/>
      <c r="G46" s="10"/>
      <c r="H46" s="8" t="s">
        <v>45</v>
      </c>
      <c r="I46" s="12"/>
      <c r="J46" s="8"/>
      <c r="K46" s="8"/>
      <c r="L46" s="8"/>
      <c r="M46" s="8"/>
      <c r="N46" s="8"/>
      <c r="O46" s="8"/>
      <c r="P46" s="8"/>
      <c r="Q46" s="8"/>
      <c r="R46" s="8"/>
      <c r="S46" s="8"/>
      <c r="T46" s="8"/>
      <c r="U46" s="8"/>
      <c r="V46" s="8"/>
      <c r="W46" s="8"/>
      <c r="X46" s="8"/>
      <c r="Y46" s="8"/>
      <c r="Z46" s="8"/>
    </row>
    <row r="47">
      <c r="A47" s="8"/>
      <c r="B47" s="8"/>
      <c r="C47" s="8"/>
      <c r="D47" s="8"/>
      <c r="E47" s="12"/>
      <c r="F47" s="8"/>
      <c r="G47" s="10"/>
      <c r="H47" s="8" t="s">
        <v>45</v>
      </c>
      <c r="I47" s="12"/>
      <c r="J47" s="8"/>
      <c r="K47" s="8"/>
      <c r="L47" s="8"/>
      <c r="M47" s="8"/>
      <c r="N47" s="8"/>
      <c r="O47" s="8"/>
      <c r="P47" s="8"/>
      <c r="Q47" s="8"/>
      <c r="R47" s="8"/>
      <c r="S47" s="8"/>
      <c r="T47" s="8"/>
      <c r="U47" s="8"/>
      <c r="V47" s="8"/>
      <c r="W47" s="8"/>
      <c r="X47" s="8"/>
      <c r="Y47" s="8"/>
      <c r="Z47" s="8"/>
    </row>
    <row r="48">
      <c r="A48" s="8"/>
      <c r="B48" s="8"/>
      <c r="C48" s="8"/>
      <c r="D48" s="8"/>
      <c r="E48" s="12"/>
      <c r="F48" s="8"/>
      <c r="G48" s="10"/>
      <c r="H48" s="8" t="s">
        <v>45</v>
      </c>
      <c r="I48" s="12"/>
      <c r="J48" s="8"/>
      <c r="K48" s="8"/>
      <c r="L48" s="8"/>
      <c r="M48" s="8"/>
      <c r="N48" s="8"/>
      <c r="O48" s="8"/>
      <c r="P48" s="8"/>
      <c r="Q48" s="8"/>
      <c r="R48" s="8"/>
      <c r="S48" s="8"/>
      <c r="T48" s="8"/>
      <c r="U48" s="8"/>
      <c r="V48" s="8"/>
      <c r="W48" s="8"/>
      <c r="X48" s="8"/>
      <c r="Y48" s="8"/>
      <c r="Z48" s="8"/>
    </row>
    <row r="49">
      <c r="A49" s="8"/>
      <c r="B49" s="8"/>
      <c r="C49" s="8"/>
      <c r="D49" s="8"/>
      <c r="E49" s="12"/>
      <c r="F49" s="8"/>
      <c r="G49" s="10"/>
      <c r="H49" s="8" t="s">
        <v>45</v>
      </c>
      <c r="I49" s="12"/>
      <c r="J49" s="8"/>
      <c r="K49" s="8"/>
      <c r="L49" s="8"/>
      <c r="M49" s="8"/>
      <c r="N49" s="8"/>
      <c r="O49" s="8"/>
      <c r="P49" s="8"/>
      <c r="Q49" s="8"/>
      <c r="R49" s="8"/>
      <c r="S49" s="8"/>
      <c r="T49" s="8"/>
      <c r="U49" s="8"/>
      <c r="V49" s="8"/>
      <c r="W49" s="8"/>
      <c r="X49" s="8"/>
      <c r="Y49" s="8"/>
      <c r="Z49" s="8"/>
    </row>
    <row r="50">
      <c r="A50" s="8"/>
      <c r="B50" s="8"/>
      <c r="C50" s="8"/>
      <c r="D50" s="8"/>
      <c r="E50" s="12"/>
      <c r="F50" s="8"/>
      <c r="G50" s="10"/>
      <c r="H50" s="8" t="s">
        <v>45</v>
      </c>
      <c r="I50" s="12"/>
      <c r="J50" s="8"/>
      <c r="K50" s="8"/>
      <c r="L50" s="8"/>
      <c r="M50" s="8"/>
      <c r="N50" s="8"/>
      <c r="O50" s="8"/>
      <c r="P50" s="8"/>
      <c r="Q50" s="8"/>
      <c r="R50" s="8"/>
      <c r="S50" s="8"/>
      <c r="T50" s="8"/>
      <c r="U50" s="8"/>
      <c r="V50" s="8"/>
      <c r="W50" s="8"/>
      <c r="X50" s="8"/>
      <c r="Y50" s="8"/>
      <c r="Z50" s="8"/>
    </row>
    <row r="51">
      <c r="A51" s="8"/>
      <c r="B51" s="8"/>
      <c r="C51" s="8"/>
      <c r="D51" s="8"/>
      <c r="E51" s="12"/>
      <c r="F51" s="8"/>
      <c r="G51" s="10"/>
      <c r="H51" s="8" t="s">
        <v>45</v>
      </c>
      <c r="I51" s="12"/>
      <c r="J51" s="8"/>
      <c r="K51" s="8"/>
      <c r="L51" s="8"/>
      <c r="M51" s="8"/>
      <c r="N51" s="8"/>
      <c r="O51" s="8"/>
      <c r="P51" s="8"/>
      <c r="Q51" s="8"/>
      <c r="R51" s="8"/>
      <c r="S51" s="8"/>
      <c r="T51" s="8"/>
      <c r="U51" s="8"/>
      <c r="V51" s="8"/>
      <c r="W51" s="8"/>
      <c r="X51" s="8"/>
      <c r="Y51" s="8"/>
      <c r="Z51" s="8"/>
    </row>
    <row r="52">
      <c r="A52" s="8"/>
      <c r="B52" s="8"/>
      <c r="C52" s="8"/>
      <c r="D52" s="8"/>
      <c r="E52" s="12"/>
      <c r="F52" s="8"/>
      <c r="G52" s="10"/>
      <c r="H52" s="8" t="s">
        <v>45</v>
      </c>
      <c r="I52" s="12"/>
      <c r="J52" s="8"/>
      <c r="K52" s="8"/>
      <c r="L52" s="8"/>
      <c r="M52" s="8"/>
      <c r="N52" s="8"/>
      <c r="O52" s="8"/>
      <c r="P52" s="8"/>
      <c r="Q52" s="8"/>
      <c r="R52" s="8"/>
      <c r="S52" s="8"/>
      <c r="T52" s="8"/>
      <c r="U52" s="8"/>
      <c r="V52" s="8"/>
      <c r="W52" s="8"/>
      <c r="X52" s="8"/>
      <c r="Y52" s="8"/>
      <c r="Z52" s="8"/>
    </row>
    <row r="53">
      <c r="A53" s="8"/>
      <c r="B53" s="8"/>
      <c r="C53" s="8"/>
      <c r="D53" s="8"/>
      <c r="E53" s="12"/>
      <c r="F53" s="8"/>
      <c r="G53" s="10"/>
      <c r="H53" s="8" t="s">
        <v>45</v>
      </c>
      <c r="I53" s="12"/>
      <c r="J53" s="8"/>
      <c r="K53" s="8"/>
      <c r="L53" s="8"/>
      <c r="M53" s="8"/>
      <c r="N53" s="8"/>
      <c r="O53" s="8"/>
      <c r="P53" s="8"/>
      <c r="Q53" s="8"/>
      <c r="R53" s="8"/>
      <c r="S53" s="8"/>
      <c r="T53" s="8"/>
      <c r="U53" s="8"/>
      <c r="V53" s="8"/>
      <c r="W53" s="8"/>
      <c r="X53" s="8"/>
      <c r="Y53" s="8"/>
      <c r="Z53" s="8"/>
    </row>
    <row r="54">
      <c r="A54" s="8"/>
      <c r="B54" s="8"/>
      <c r="C54" s="8"/>
      <c r="D54" s="8"/>
      <c r="E54" s="12"/>
      <c r="F54" s="8"/>
      <c r="G54" s="10"/>
      <c r="H54" s="8" t="s">
        <v>45</v>
      </c>
      <c r="I54" s="12"/>
      <c r="J54" s="8"/>
      <c r="K54" s="8"/>
      <c r="L54" s="8"/>
      <c r="M54" s="8"/>
      <c r="N54" s="8"/>
      <c r="O54" s="8"/>
      <c r="P54" s="8"/>
      <c r="Q54" s="8"/>
      <c r="R54" s="8"/>
      <c r="S54" s="8"/>
      <c r="T54" s="8"/>
      <c r="U54" s="8"/>
      <c r="V54" s="8"/>
      <c r="W54" s="8"/>
      <c r="X54" s="8"/>
      <c r="Y54" s="8"/>
      <c r="Z54" s="8"/>
    </row>
    <row r="55">
      <c r="A55" s="8"/>
      <c r="B55" s="8"/>
      <c r="C55" s="8"/>
      <c r="D55" s="8"/>
      <c r="E55" s="12"/>
      <c r="F55" s="8"/>
      <c r="G55" s="10"/>
      <c r="H55" s="8" t="s">
        <v>45</v>
      </c>
      <c r="I55" s="12"/>
      <c r="J55" s="8"/>
      <c r="K55" s="8"/>
      <c r="L55" s="8"/>
      <c r="M55" s="8"/>
      <c r="N55" s="8"/>
      <c r="O55" s="8"/>
      <c r="P55" s="8"/>
      <c r="Q55" s="8"/>
      <c r="R55" s="8"/>
      <c r="S55" s="8"/>
      <c r="T55" s="8"/>
      <c r="U55" s="8"/>
      <c r="V55" s="8"/>
      <c r="W55" s="8"/>
      <c r="X55" s="8"/>
      <c r="Y55" s="8"/>
      <c r="Z55" s="8"/>
    </row>
    <row r="56">
      <c r="A56" s="8"/>
      <c r="B56" s="8"/>
      <c r="C56" s="8"/>
      <c r="D56" s="8"/>
      <c r="E56" s="12"/>
      <c r="F56" s="8"/>
      <c r="G56" s="10"/>
      <c r="H56" s="8" t="s">
        <v>45</v>
      </c>
      <c r="I56" s="12"/>
      <c r="J56" s="8"/>
      <c r="K56" s="8"/>
      <c r="L56" s="8"/>
      <c r="M56" s="8"/>
      <c r="N56" s="8"/>
      <c r="O56" s="8"/>
      <c r="P56" s="8"/>
      <c r="Q56" s="8"/>
      <c r="R56" s="8"/>
      <c r="S56" s="8"/>
      <c r="T56" s="8"/>
      <c r="U56" s="8"/>
      <c r="V56" s="8"/>
      <c r="W56" s="8"/>
      <c r="X56" s="8"/>
      <c r="Y56" s="8"/>
      <c r="Z56" s="8"/>
    </row>
    <row r="57">
      <c r="A57" s="8"/>
      <c r="B57" s="8"/>
      <c r="C57" s="8"/>
      <c r="D57" s="8"/>
      <c r="E57" s="12"/>
      <c r="F57" s="8"/>
      <c r="G57" s="10"/>
      <c r="H57" s="8" t="s">
        <v>45</v>
      </c>
      <c r="I57" s="12"/>
      <c r="J57" s="8"/>
      <c r="K57" s="8"/>
      <c r="L57" s="8"/>
      <c r="M57" s="8"/>
      <c r="N57" s="8"/>
      <c r="O57" s="8"/>
      <c r="P57" s="8"/>
      <c r="Q57" s="8"/>
      <c r="R57" s="8"/>
      <c r="S57" s="8"/>
      <c r="T57" s="8"/>
      <c r="U57" s="8"/>
      <c r="V57" s="8"/>
      <c r="W57" s="8"/>
      <c r="X57" s="8"/>
      <c r="Y57" s="8"/>
      <c r="Z57" s="8"/>
    </row>
    <row r="58">
      <c r="A58" s="8"/>
      <c r="B58" s="8"/>
      <c r="C58" s="8"/>
      <c r="D58" s="8"/>
      <c r="E58" s="12"/>
      <c r="F58" s="8"/>
      <c r="G58" s="10"/>
      <c r="H58" s="8" t="s">
        <v>45</v>
      </c>
      <c r="I58" s="12"/>
      <c r="J58" s="8"/>
      <c r="K58" s="8"/>
      <c r="L58" s="8"/>
      <c r="M58" s="8"/>
      <c r="N58" s="8"/>
      <c r="O58" s="8"/>
      <c r="P58" s="8"/>
      <c r="Q58" s="8"/>
      <c r="R58" s="8"/>
      <c r="S58" s="8"/>
      <c r="T58" s="8"/>
      <c r="U58" s="8"/>
      <c r="V58" s="8"/>
      <c r="W58" s="8"/>
      <c r="X58" s="8"/>
      <c r="Y58" s="8"/>
      <c r="Z58" s="8"/>
    </row>
    <row r="59">
      <c r="A59" s="8"/>
      <c r="B59" s="8"/>
      <c r="C59" s="8"/>
      <c r="D59" s="8"/>
      <c r="E59" s="12"/>
      <c r="F59" s="8"/>
      <c r="G59" s="10"/>
      <c r="H59" s="8" t="s">
        <v>45</v>
      </c>
      <c r="I59" s="12"/>
      <c r="J59" s="8"/>
      <c r="K59" s="8"/>
      <c r="L59" s="8"/>
      <c r="M59" s="8"/>
      <c r="N59" s="8"/>
      <c r="O59" s="8"/>
      <c r="P59" s="8"/>
      <c r="Q59" s="8"/>
      <c r="R59" s="8"/>
      <c r="S59" s="8"/>
      <c r="T59" s="8"/>
      <c r="U59" s="8"/>
      <c r="V59" s="8"/>
      <c r="W59" s="8"/>
      <c r="X59" s="8"/>
      <c r="Y59" s="8"/>
      <c r="Z59" s="8"/>
    </row>
    <row r="60">
      <c r="A60" s="8"/>
      <c r="B60" s="8"/>
      <c r="C60" s="8"/>
      <c r="D60" s="8"/>
      <c r="E60" s="12"/>
      <c r="F60" s="8"/>
      <c r="G60" s="10"/>
      <c r="H60" s="8" t="s">
        <v>45</v>
      </c>
      <c r="I60" s="12"/>
      <c r="J60" s="8"/>
      <c r="K60" s="8"/>
      <c r="L60" s="8"/>
      <c r="M60" s="8"/>
      <c r="N60" s="8"/>
      <c r="O60" s="8"/>
      <c r="P60" s="8"/>
      <c r="Q60" s="8"/>
      <c r="R60" s="8"/>
      <c r="S60" s="8"/>
      <c r="T60" s="8"/>
      <c r="U60" s="8"/>
      <c r="V60" s="8"/>
      <c r="W60" s="8"/>
      <c r="X60" s="8"/>
      <c r="Y60" s="8"/>
      <c r="Z60" s="8"/>
    </row>
    <row r="61">
      <c r="A61" s="8"/>
      <c r="B61" s="8"/>
      <c r="C61" s="8"/>
      <c r="D61" s="8"/>
      <c r="E61" s="12"/>
      <c r="F61" s="8"/>
      <c r="G61" s="10"/>
      <c r="H61" s="8" t="s">
        <v>45</v>
      </c>
      <c r="I61" s="12"/>
      <c r="J61" s="8"/>
      <c r="K61" s="8"/>
      <c r="L61" s="8"/>
      <c r="M61" s="8"/>
      <c r="N61" s="8"/>
      <c r="O61" s="8"/>
      <c r="P61" s="8"/>
      <c r="Q61" s="8"/>
      <c r="R61" s="8"/>
      <c r="S61" s="8"/>
      <c r="T61" s="8"/>
      <c r="U61" s="8"/>
      <c r="V61" s="8"/>
      <c r="W61" s="8"/>
      <c r="X61" s="8"/>
      <c r="Y61" s="8"/>
      <c r="Z61" s="8"/>
    </row>
    <row r="62">
      <c r="A62" s="8"/>
      <c r="B62" s="8"/>
      <c r="C62" s="8"/>
      <c r="D62" s="8"/>
      <c r="E62" s="12"/>
      <c r="F62" s="8"/>
      <c r="G62" s="10"/>
      <c r="H62" s="8" t="s">
        <v>45</v>
      </c>
      <c r="I62" s="12"/>
      <c r="J62" s="8"/>
      <c r="K62" s="8"/>
      <c r="L62" s="8"/>
      <c r="M62" s="8"/>
      <c r="N62" s="8"/>
      <c r="O62" s="8"/>
      <c r="P62" s="8"/>
      <c r="Q62" s="8"/>
      <c r="R62" s="8"/>
      <c r="S62" s="8"/>
      <c r="T62" s="8"/>
      <c r="U62" s="8"/>
      <c r="V62" s="8"/>
      <c r="W62" s="8"/>
      <c r="X62" s="8"/>
      <c r="Y62" s="8"/>
      <c r="Z62" s="8"/>
    </row>
    <row r="63">
      <c r="A63" s="8"/>
      <c r="B63" s="8"/>
      <c r="C63" s="8"/>
      <c r="D63" s="8"/>
      <c r="E63" s="12"/>
      <c r="F63" s="8"/>
      <c r="G63" s="10"/>
      <c r="H63" s="8" t="s">
        <v>45</v>
      </c>
      <c r="I63" s="12"/>
      <c r="J63" s="8"/>
      <c r="K63" s="8"/>
      <c r="L63" s="8"/>
      <c r="M63" s="8"/>
      <c r="N63" s="8"/>
      <c r="O63" s="8"/>
      <c r="P63" s="8"/>
      <c r="Q63" s="8"/>
      <c r="R63" s="8"/>
      <c r="S63" s="8"/>
      <c r="T63" s="8"/>
      <c r="U63" s="8"/>
      <c r="V63" s="8"/>
      <c r="W63" s="8"/>
      <c r="X63" s="8"/>
      <c r="Y63" s="8"/>
      <c r="Z63" s="8"/>
    </row>
    <row r="64">
      <c r="A64" s="8"/>
      <c r="B64" s="8"/>
      <c r="C64" s="8"/>
      <c r="D64" s="8"/>
      <c r="E64" s="12"/>
      <c r="F64" s="8"/>
      <c r="G64" s="10"/>
      <c r="H64" s="8" t="s">
        <v>45</v>
      </c>
      <c r="I64" s="12"/>
      <c r="J64" s="8"/>
      <c r="K64" s="8"/>
      <c r="L64" s="8"/>
      <c r="M64" s="8"/>
      <c r="N64" s="8"/>
      <c r="O64" s="8"/>
      <c r="P64" s="8"/>
      <c r="Q64" s="8"/>
      <c r="R64" s="8"/>
      <c r="S64" s="8"/>
      <c r="T64" s="8"/>
      <c r="U64" s="8"/>
      <c r="V64" s="8"/>
      <c r="W64" s="8"/>
      <c r="X64" s="8"/>
      <c r="Y64" s="8"/>
      <c r="Z64" s="8"/>
    </row>
    <row r="65">
      <c r="A65" s="8"/>
      <c r="B65" s="8"/>
      <c r="C65" s="8"/>
      <c r="D65" s="8"/>
      <c r="E65" s="12"/>
      <c r="F65" s="8"/>
      <c r="G65" s="10"/>
      <c r="H65" s="8" t="s">
        <v>45</v>
      </c>
      <c r="I65" s="12"/>
      <c r="J65" s="8"/>
      <c r="K65" s="8"/>
      <c r="L65" s="8"/>
      <c r="M65" s="8"/>
      <c r="N65" s="8"/>
      <c r="O65" s="8"/>
      <c r="P65" s="8"/>
      <c r="Q65" s="8"/>
      <c r="R65" s="8"/>
      <c r="S65" s="8"/>
      <c r="T65" s="8"/>
      <c r="U65" s="8"/>
      <c r="V65" s="8"/>
      <c r="W65" s="8"/>
      <c r="X65" s="8"/>
      <c r="Y65" s="8"/>
      <c r="Z65" s="8"/>
    </row>
    <row r="66">
      <c r="A66" s="8"/>
      <c r="B66" s="8"/>
      <c r="C66" s="8"/>
      <c r="D66" s="8"/>
      <c r="E66" s="12"/>
      <c r="F66" s="8"/>
      <c r="G66" s="10"/>
      <c r="H66" s="8" t="s">
        <v>45</v>
      </c>
      <c r="I66" s="12"/>
      <c r="J66" s="8"/>
      <c r="K66" s="8"/>
      <c r="L66" s="8"/>
      <c r="M66" s="8"/>
      <c r="N66" s="8"/>
      <c r="O66" s="8"/>
      <c r="P66" s="8"/>
      <c r="Q66" s="8"/>
      <c r="R66" s="8"/>
      <c r="S66" s="8"/>
      <c r="T66" s="8"/>
      <c r="U66" s="8"/>
      <c r="V66" s="8"/>
      <c r="W66" s="8"/>
      <c r="X66" s="8"/>
      <c r="Y66" s="8"/>
      <c r="Z66" s="8"/>
    </row>
    <row r="67">
      <c r="A67" s="8"/>
      <c r="B67" s="8"/>
      <c r="C67" s="8"/>
      <c r="D67" s="8"/>
      <c r="E67" s="12"/>
      <c r="F67" s="8"/>
      <c r="G67" s="10"/>
      <c r="H67" s="8" t="s">
        <v>45</v>
      </c>
      <c r="I67" s="12"/>
      <c r="J67" s="8"/>
      <c r="K67" s="8"/>
      <c r="L67" s="8"/>
      <c r="M67" s="8"/>
      <c r="N67" s="8"/>
      <c r="O67" s="8"/>
      <c r="P67" s="8"/>
      <c r="Q67" s="8"/>
      <c r="R67" s="8"/>
      <c r="S67" s="8"/>
      <c r="T67" s="8"/>
      <c r="U67" s="8"/>
      <c r="V67" s="8"/>
      <c r="W67" s="8"/>
      <c r="X67" s="8"/>
      <c r="Y67" s="8"/>
      <c r="Z67" s="8"/>
    </row>
    <row r="68">
      <c r="A68" s="8"/>
      <c r="B68" s="8"/>
      <c r="C68" s="8"/>
      <c r="D68" s="8"/>
      <c r="E68" s="12"/>
      <c r="F68" s="8"/>
      <c r="G68" s="10"/>
      <c r="H68" s="8" t="s">
        <v>45</v>
      </c>
      <c r="I68" s="12"/>
      <c r="J68" s="8"/>
      <c r="K68" s="8"/>
      <c r="L68" s="8"/>
      <c r="M68" s="8"/>
      <c r="N68" s="8"/>
      <c r="O68" s="8"/>
      <c r="P68" s="8"/>
      <c r="Q68" s="8"/>
      <c r="R68" s="8"/>
      <c r="S68" s="8"/>
      <c r="T68" s="8"/>
      <c r="U68" s="8"/>
      <c r="V68" s="8"/>
      <c r="W68" s="8"/>
      <c r="X68" s="8"/>
      <c r="Y68" s="8"/>
      <c r="Z68" s="8"/>
    </row>
    <row r="69">
      <c r="A69" s="8"/>
      <c r="B69" s="8"/>
      <c r="C69" s="8"/>
      <c r="D69" s="8"/>
      <c r="E69" s="12"/>
      <c r="F69" s="8"/>
      <c r="G69" s="10"/>
      <c r="H69" s="8" t="s">
        <v>45</v>
      </c>
      <c r="I69" s="12"/>
      <c r="J69" s="8"/>
      <c r="K69" s="8"/>
      <c r="L69" s="8"/>
      <c r="M69" s="8"/>
      <c r="N69" s="8"/>
      <c r="O69" s="8"/>
      <c r="P69" s="8"/>
      <c r="Q69" s="8"/>
      <c r="R69" s="8"/>
      <c r="S69" s="8"/>
      <c r="T69" s="8"/>
      <c r="U69" s="8"/>
      <c r="V69" s="8"/>
      <c r="W69" s="8"/>
      <c r="X69" s="8"/>
      <c r="Y69" s="8"/>
      <c r="Z69" s="8"/>
    </row>
    <row r="70">
      <c r="A70" s="8"/>
      <c r="B70" s="8"/>
      <c r="C70" s="8"/>
      <c r="D70" s="8"/>
      <c r="E70" s="12"/>
      <c r="F70" s="8"/>
      <c r="G70" s="10"/>
      <c r="H70" s="8" t="s">
        <v>45</v>
      </c>
      <c r="I70" s="12"/>
      <c r="J70" s="8"/>
      <c r="K70" s="8"/>
      <c r="L70" s="8"/>
      <c r="M70" s="8"/>
      <c r="N70" s="8"/>
      <c r="O70" s="8"/>
      <c r="P70" s="8"/>
      <c r="Q70" s="8"/>
      <c r="R70" s="8"/>
      <c r="S70" s="8"/>
      <c r="T70" s="8"/>
      <c r="U70" s="8"/>
      <c r="V70" s="8"/>
      <c r="W70" s="8"/>
      <c r="X70" s="8"/>
      <c r="Y70" s="8"/>
      <c r="Z70" s="8"/>
    </row>
    <row r="71">
      <c r="A71" s="8"/>
      <c r="B71" s="8"/>
      <c r="C71" s="8"/>
      <c r="D71" s="8"/>
      <c r="E71" s="12"/>
      <c r="F71" s="8"/>
      <c r="G71" s="10"/>
      <c r="H71" s="8" t="s">
        <v>45</v>
      </c>
      <c r="I71" s="12"/>
      <c r="J71" s="8"/>
      <c r="K71" s="8"/>
      <c r="L71" s="8"/>
      <c r="M71" s="8"/>
      <c r="N71" s="8"/>
      <c r="O71" s="8"/>
      <c r="P71" s="8"/>
      <c r="Q71" s="8"/>
      <c r="R71" s="8"/>
      <c r="S71" s="8"/>
      <c r="T71" s="8"/>
      <c r="U71" s="8"/>
      <c r="V71" s="8"/>
      <c r="W71" s="8"/>
      <c r="X71" s="8"/>
      <c r="Y71" s="8"/>
      <c r="Z71" s="8"/>
    </row>
    <row r="72">
      <c r="A72" s="8"/>
      <c r="B72" s="8"/>
      <c r="C72" s="8"/>
      <c r="D72" s="8"/>
      <c r="E72" s="12"/>
      <c r="F72" s="8"/>
      <c r="G72" s="10"/>
      <c r="H72" s="8" t="s">
        <v>45</v>
      </c>
      <c r="I72" s="12"/>
      <c r="J72" s="8"/>
      <c r="K72" s="8"/>
      <c r="L72" s="8"/>
      <c r="M72" s="8"/>
      <c r="N72" s="8"/>
      <c r="O72" s="8"/>
      <c r="P72" s="8"/>
      <c r="Q72" s="8"/>
      <c r="R72" s="8"/>
      <c r="S72" s="8"/>
      <c r="T72" s="8"/>
      <c r="U72" s="8"/>
      <c r="V72" s="8"/>
      <c r="W72" s="8"/>
      <c r="X72" s="8"/>
      <c r="Y72" s="8"/>
      <c r="Z72" s="8"/>
    </row>
    <row r="73">
      <c r="A73" s="8"/>
      <c r="B73" s="8"/>
      <c r="C73" s="8"/>
      <c r="D73" s="8"/>
      <c r="E73" s="12"/>
      <c r="F73" s="8"/>
      <c r="G73" s="10"/>
      <c r="H73" s="8" t="s">
        <v>45</v>
      </c>
      <c r="I73" s="12"/>
      <c r="J73" s="8"/>
      <c r="K73" s="8"/>
      <c r="L73" s="8"/>
      <c r="M73" s="8"/>
      <c r="N73" s="8"/>
      <c r="O73" s="8"/>
      <c r="P73" s="8"/>
      <c r="Q73" s="8"/>
      <c r="R73" s="8"/>
      <c r="S73" s="8"/>
      <c r="T73" s="8"/>
      <c r="U73" s="8"/>
      <c r="V73" s="8"/>
      <c r="W73" s="8"/>
      <c r="X73" s="8"/>
      <c r="Y73" s="8"/>
      <c r="Z73" s="8"/>
    </row>
    <row r="74">
      <c r="A74" s="8"/>
      <c r="B74" s="8"/>
      <c r="C74" s="8"/>
      <c r="D74" s="8"/>
      <c r="E74" s="12"/>
      <c r="F74" s="8"/>
      <c r="G74" s="10"/>
      <c r="H74" s="8" t="s">
        <v>45</v>
      </c>
      <c r="I74" s="12"/>
      <c r="J74" s="8"/>
      <c r="K74" s="8"/>
      <c r="L74" s="8"/>
      <c r="M74" s="8"/>
      <c r="N74" s="8"/>
      <c r="O74" s="8"/>
      <c r="P74" s="8"/>
      <c r="Q74" s="8"/>
      <c r="R74" s="8"/>
      <c r="S74" s="8"/>
      <c r="T74" s="8"/>
      <c r="U74" s="8"/>
      <c r="V74" s="8"/>
      <c r="W74" s="8"/>
      <c r="X74" s="8"/>
      <c r="Y74" s="8"/>
      <c r="Z74" s="8"/>
    </row>
    <row r="75">
      <c r="A75" s="8"/>
      <c r="B75" s="8"/>
      <c r="C75" s="8"/>
      <c r="D75" s="8"/>
      <c r="E75" s="12"/>
      <c r="F75" s="8"/>
      <c r="G75" s="10"/>
      <c r="H75" s="8" t="s">
        <v>45</v>
      </c>
      <c r="I75" s="12"/>
      <c r="J75" s="8"/>
      <c r="K75" s="8"/>
      <c r="L75" s="8"/>
      <c r="M75" s="8"/>
      <c r="N75" s="8"/>
      <c r="O75" s="8"/>
      <c r="P75" s="8"/>
      <c r="Q75" s="8"/>
      <c r="R75" s="8"/>
      <c r="S75" s="8"/>
      <c r="T75" s="8"/>
      <c r="U75" s="8"/>
      <c r="V75" s="8"/>
      <c r="W75" s="8"/>
      <c r="X75" s="8"/>
      <c r="Y75" s="8"/>
      <c r="Z75" s="8"/>
    </row>
    <row r="76">
      <c r="A76" s="8"/>
      <c r="B76" s="8"/>
      <c r="C76" s="8"/>
      <c r="D76" s="8"/>
      <c r="E76" s="12"/>
      <c r="F76" s="8"/>
      <c r="G76" s="10"/>
      <c r="H76" s="8" t="s">
        <v>45</v>
      </c>
      <c r="I76" s="12"/>
      <c r="J76" s="8"/>
      <c r="K76" s="8"/>
      <c r="L76" s="8"/>
      <c r="M76" s="8"/>
      <c r="N76" s="8"/>
      <c r="O76" s="8"/>
      <c r="P76" s="8"/>
      <c r="Q76" s="8"/>
      <c r="R76" s="8"/>
      <c r="S76" s="8"/>
      <c r="T76" s="8"/>
      <c r="U76" s="8"/>
      <c r="V76" s="8"/>
      <c r="W76" s="8"/>
      <c r="X76" s="8"/>
      <c r="Y76" s="8"/>
      <c r="Z76" s="8"/>
    </row>
    <row r="77">
      <c r="A77" s="8"/>
      <c r="B77" s="8"/>
      <c r="C77" s="8"/>
      <c r="D77" s="8"/>
      <c r="E77" s="12"/>
      <c r="F77" s="8"/>
      <c r="G77" s="10"/>
      <c r="H77" s="8" t="s">
        <v>45</v>
      </c>
      <c r="I77" s="12"/>
      <c r="J77" s="8"/>
      <c r="K77" s="8"/>
      <c r="L77" s="8"/>
      <c r="M77" s="8"/>
      <c r="N77" s="8"/>
      <c r="O77" s="8"/>
      <c r="P77" s="8"/>
      <c r="Q77" s="8"/>
      <c r="R77" s="8"/>
      <c r="S77" s="8"/>
      <c r="T77" s="8"/>
      <c r="U77" s="8"/>
      <c r="V77" s="8"/>
      <c r="W77" s="8"/>
      <c r="X77" s="8"/>
      <c r="Y77" s="8"/>
      <c r="Z77" s="8"/>
    </row>
    <row r="78">
      <c r="A78" s="8"/>
      <c r="B78" s="8"/>
      <c r="C78" s="8"/>
      <c r="D78" s="8"/>
      <c r="E78" s="12"/>
      <c r="F78" s="8"/>
      <c r="G78" s="10"/>
      <c r="H78" s="8" t="s">
        <v>45</v>
      </c>
      <c r="I78" s="12"/>
      <c r="J78" s="8"/>
      <c r="K78" s="8"/>
      <c r="L78" s="8"/>
      <c r="M78" s="8"/>
      <c r="N78" s="8"/>
      <c r="O78" s="8"/>
      <c r="P78" s="8"/>
      <c r="Q78" s="8"/>
      <c r="R78" s="8"/>
      <c r="S78" s="8"/>
      <c r="T78" s="8"/>
      <c r="U78" s="8"/>
      <c r="V78" s="8"/>
      <c r="W78" s="8"/>
      <c r="X78" s="8"/>
      <c r="Y78" s="8"/>
      <c r="Z78" s="8"/>
    </row>
    <row r="79">
      <c r="A79" s="8"/>
      <c r="B79" s="8"/>
      <c r="C79" s="8"/>
      <c r="D79" s="8"/>
      <c r="E79" s="12"/>
      <c r="F79" s="8"/>
      <c r="G79" s="10"/>
      <c r="H79" s="8" t="s">
        <v>45</v>
      </c>
      <c r="I79" s="12"/>
      <c r="J79" s="8"/>
      <c r="K79" s="8"/>
      <c r="L79" s="8"/>
      <c r="M79" s="8"/>
      <c r="N79" s="8"/>
      <c r="O79" s="8"/>
      <c r="P79" s="8"/>
      <c r="Q79" s="8"/>
      <c r="R79" s="8"/>
      <c r="S79" s="8"/>
      <c r="T79" s="8"/>
      <c r="U79" s="8"/>
      <c r="V79" s="8"/>
      <c r="W79" s="8"/>
      <c r="X79" s="8"/>
      <c r="Y79" s="8"/>
      <c r="Z79" s="8"/>
    </row>
    <row r="80">
      <c r="A80" s="8"/>
      <c r="B80" s="8"/>
      <c r="C80" s="8"/>
      <c r="D80" s="8"/>
      <c r="E80" s="12"/>
      <c r="F80" s="8"/>
      <c r="G80" s="10"/>
      <c r="H80" s="8" t="s">
        <v>45</v>
      </c>
      <c r="I80" s="12"/>
      <c r="J80" s="8"/>
      <c r="K80" s="8"/>
      <c r="L80" s="8"/>
      <c r="M80" s="8"/>
      <c r="N80" s="8"/>
      <c r="O80" s="8"/>
      <c r="P80" s="8"/>
      <c r="Q80" s="8"/>
      <c r="R80" s="8"/>
      <c r="S80" s="8"/>
      <c r="T80" s="8"/>
      <c r="U80" s="8"/>
      <c r="V80" s="8"/>
      <c r="W80" s="8"/>
      <c r="X80" s="8"/>
      <c r="Y80" s="8"/>
      <c r="Z80" s="8"/>
    </row>
    <row r="81">
      <c r="A81" s="8"/>
      <c r="B81" s="8"/>
      <c r="C81" s="8"/>
      <c r="D81" s="8"/>
      <c r="E81" s="12"/>
      <c r="F81" s="8"/>
      <c r="G81" s="10"/>
      <c r="H81" s="8" t="s">
        <v>45</v>
      </c>
      <c r="I81" s="12"/>
      <c r="J81" s="8"/>
      <c r="K81" s="8"/>
      <c r="L81" s="8"/>
      <c r="M81" s="8"/>
      <c r="N81" s="8"/>
      <c r="O81" s="8"/>
      <c r="P81" s="8"/>
      <c r="Q81" s="8"/>
      <c r="R81" s="8"/>
      <c r="S81" s="8"/>
      <c r="T81" s="8"/>
      <c r="U81" s="8"/>
      <c r="V81" s="8"/>
      <c r="W81" s="8"/>
      <c r="X81" s="8"/>
      <c r="Y81" s="8"/>
      <c r="Z81" s="8"/>
    </row>
    <row r="82">
      <c r="A82" s="8"/>
      <c r="B82" s="8"/>
      <c r="C82" s="8"/>
      <c r="D82" s="8"/>
      <c r="E82" s="12"/>
      <c r="F82" s="8"/>
      <c r="G82" s="10"/>
      <c r="H82" s="8" t="s">
        <v>45</v>
      </c>
      <c r="I82" s="12"/>
      <c r="J82" s="8"/>
      <c r="K82" s="8"/>
      <c r="L82" s="8"/>
      <c r="M82" s="8"/>
      <c r="N82" s="8"/>
      <c r="O82" s="8"/>
      <c r="P82" s="8"/>
      <c r="Q82" s="8"/>
      <c r="R82" s="8"/>
      <c r="S82" s="8"/>
      <c r="T82" s="8"/>
      <c r="U82" s="8"/>
      <c r="V82" s="8"/>
      <c r="W82" s="8"/>
      <c r="X82" s="8"/>
      <c r="Y82" s="8"/>
      <c r="Z82" s="8"/>
    </row>
    <row r="83">
      <c r="A83" s="8"/>
      <c r="B83" s="8"/>
      <c r="C83" s="8"/>
      <c r="D83" s="8"/>
      <c r="E83" s="12"/>
      <c r="F83" s="8"/>
      <c r="G83" s="10"/>
      <c r="H83" s="8" t="s">
        <v>45</v>
      </c>
      <c r="I83" s="12"/>
      <c r="J83" s="8"/>
      <c r="K83" s="8"/>
      <c r="L83" s="8"/>
      <c r="M83" s="8"/>
      <c r="N83" s="8"/>
      <c r="O83" s="8"/>
      <c r="P83" s="8"/>
      <c r="Q83" s="8"/>
      <c r="R83" s="8"/>
      <c r="S83" s="8"/>
      <c r="T83" s="8"/>
      <c r="U83" s="8"/>
      <c r="V83" s="8"/>
      <c r="W83" s="8"/>
      <c r="X83" s="8"/>
      <c r="Y83" s="8"/>
      <c r="Z83" s="8"/>
    </row>
    <row r="84">
      <c r="A84" s="8"/>
      <c r="B84" s="8"/>
      <c r="C84" s="8"/>
      <c r="D84" s="8"/>
      <c r="E84" s="12"/>
      <c r="F84" s="8"/>
      <c r="G84" s="10"/>
      <c r="H84" s="8" t="s">
        <v>45</v>
      </c>
      <c r="I84" s="12"/>
      <c r="J84" s="8"/>
      <c r="K84" s="8"/>
      <c r="L84" s="8"/>
      <c r="M84" s="8"/>
      <c r="N84" s="8"/>
      <c r="O84" s="8"/>
      <c r="P84" s="8"/>
      <c r="Q84" s="8"/>
      <c r="R84" s="8"/>
      <c r="S84" s="8"/>
      <c r="T84" s="8"/>
      <c r="U84" s="8"/>
      <c r="V84" s="8"/>
      <c r="W84" s="8"/>
      <c r="X84" s="8"/>
      <c r="Y84" s="8"/>
      <c r="Z84" s="8"/>
    </row>
    <row r="85">
      <c r="A85" s="8"/>
      <c r="B85" s="8"/>
      <c r="C85" s="8"/>
      <c r="D85" s="8"/>
      <c r="E85" s="12"/>
      <c r="F85" s="8"/>
      <c r="G85" s="10"/>
      <c r="H85" s="8" t="s">
        <v>45</v>
      </c>
      <c r="I85" s="12"/>
      <c r="J85" s="8"/>
      <c r="K85" s="8"/>
      <c r="L85" s="8"/>
      <c r="M85" s="8"/>
      <c r="N85" s="8"/>
      <c r="O85" s="8"/>
      <c r="P85" s="8"/>
      <c r="Q85" s="8"/>
      <c r="R85" s="8"/>
      <c r="S85" s="8"/>
      <c r="T85" s="8"/>
      <c r="U85" s="8"/>
      <c r="V85" s="8"/>
      <c r="W85" s="8"/>
      <c r="X85" s="8"/>
      <c r="Y85" s="8"/>
      <c r="Z85" s="8"/>
    </row>
    <row r="86">
      <c r="A86" s="8"/>
      <c r="B86" s="8"/>
      <c r="C86" s="8"/>
      <c r="D86" s="8"/>
      <c r="E86" s="12"/>
      <c r="F86" s="8"/>
      <c r="G86" s="10"/>
      <c r="H86" s="8" t="s">
        <v>45</v>
      </c>
      <c r="I86" s="12"/>
      <c r="J86" s="8"/>
      <c r="K86" s="8"/>
      <c r="L86" s="8"/>
      <c r="M86" s="8"/>
      <c r="N86" s="8"/>
      <c r="O86" s="8"/>
      <c r="P86" s="8"/>
      <c r="Q86" s="8"/>
      <c r="R86" s="8"/>
      <c r="S86" s="8"/>
      <c r="T86" s="8"/>
      <c r="U86" s="8"/>
      <c r="V86" s="8"/>
      <c r="W86" s="8"/>
      <c r="X86" s="8"/>
      <c r="Y86" s="8"/>
      <c r="Z86" s="8"/>
    </row>
    <row r="87">
      <c r="A87" s="8"/>
      <c r="B87" s="8"/>
      <c r="C87" s="8"/>
      <c r="D87" s="8"/>
      <c r="E87" s="12"/>
      <c r="F87" s="8"/>
      <c r="G87" s="10"/>
      <c r="H87" s="8" t="s">
        <v>45</v>
      </c>
      <c r="I87" s="12"/>
      <c r="J87" s="8"/>
      <c r="K87" s="8"/>
      <c r="L87" s="8"/>
      <c r="M87" s="8"/>
      <c r="N87" s="8"/>
      <c r="O87" s="8"/>
      <c r="P87" s="8"/>
      <c r="Q87" s="8"/>
      <c r="R87" s="8"/>
      <c r="S87" s="8"/>
      <c r="T87" s="8"/>
      <c r="U87" s="8"/>
      <c r="V87" s="8"/>
      <c r="W87" s="8"/>
      <c r="X87" s="8"/>
      <c r="Y87" s="8"/>
      <c r="Z87" s="8"/>
    </row>
    <row r="88">
      <c r="A88" s="8"/>
      <c r="B88" s="8"/>
      <c r="C88" s="8"/>
      <c r="D88" s="8"/>
      <c r="E88" s="12"/>
      <c r="F88" s="8"/>
      <c r="G88" s="10"/>
      <c r="H88" s="8" t="s">
        <v>45</v>
      </c>
      <c r="I88" s="12"/>
      <c r="J88" s="8"/>
      <c r="K88" s="8"/>
      <c r="L88" s="8"/>
      <c r="M88" s="8"/>
      <c r="N88" s="8"/>
      <c r="O88" s="8"/>
      <c r="P88" s="8"/>
      <c r="Q88" s="8"/>
      <c r="R88" s="8"/>
      <c r="S88" s="8"/>
      <c r="T88" s="8"/>
      <c r="U88" s="8"/>
      <c r="V88" s="8"/>
      <c r="W88" s="8"/>
      <c r="X88" s="8"/>
      <c r="Y88" s="8"/>
      <c r="Z88" s="8"/>
    </row>
    <row r="89">
      <c r="A89" s="8"/>
      <c r="B89" s="8"/>
      <c r="C89" s="8"/>
      <c r="D89" s="8"/>
      <c r="E89" s="12"/>
      <c r="F89" s="8"/>
      <c r="G89" s="10"/>
      <c r="H89" s="8" t="s">
        <v>45</v>
      </c>
      <c r="I89" s="12"/>
      <c r="J89" s="8"/>
      <c r="K89" s="8"/>
      <c r="L89" s="8"/>
      <c r="M89" s="8"/>
      <c r="N89" s="8"/>
      <c r="O89" s="8"/>
      <c r="P89" s="8"/>
      <c r="Q89" s="8"/>
      <c r="R89" s="8"/>
      <c r="S89" s="8"/>
      <c r="T89" s="8"/>
      <c r="U89" s="8"/>
      <c r="V89" s="8"/>
      <c r="W89" s="8"/>
      <c r="X89" s="8"/>
      <c r="Y89" s="8"/>
      <c r="Z89" s="8"/>
    </row>
    <row r="90">
      <c r="A90" s="8"/>
      <c r="B90" s="8"/>
      <c r="C90" s="8"/>
      <c r="D90" s="8"/>
      <c r="E90" s="12"/>
      <c r="F90" s="8"/>
      <c r="G90" s="10"/>
      <c r="H90" s="8" t="s">
        <v>45</v>
      </c>
      <c r="I90" s="12"/>
      <c r="J90" s="8"/>
      <c r="K90" s="8"/>
      <c r="L90" s="8"/>
      <c r="M90" s="8"/>
      <c r="N90" s="8"/>
      <c r="O90" s="8"/>
      <c r="P90" s="8"/>
      <c r="Q90" s="8"/>
      <c r="R90" s="8"/>
      <c r="S90" s="8"/>
      <c r="T90" s="8"/>
      <c r="U90" s="8"/>
      <c r="V90" s="8"/>
      <c r="W90" s="8"/>
      <c r="X90" s="8"/>
      <c r="Y90" s="8"/>
      <c r="Z90" s="8"/>
    </row>
    <row r="91">
      <c r="A91" s="8"/>
      <c r="B91" s="8"/>
      <c r="C91" s="8"/>
      <c r="D91" s="8"/>
      <c r="E91" s="12"/>
      <c r="F91" s="8"/>
      <c r="G91" s="10"/>
      <c r="H91" s="8" t="s">
        <v>45</v>
      </c>
      <c r="I91" s="12"/>
      <c r="J91" s="8"/>
      <c r="K91" s="8"/>
      <c r="L91" s="8"/>
      <c r="M91" s="8"/>
      <c r="N91" s="8"/>
      <c r="O91" s="8"/>
      <c r="P91" s="8"/>
      <c r="Q91" s="8"/>
      <c r="R91" s="8"/>
      <c r="S91" s="8"/>
      <c r="T91" s="8"/>
      <c r="U91" s="8"/>
      <c r="V91" s="8"/>
      <c r="W91" s="8"/>
      <c r="X91" s="8"/>
      <c r="Y91" s="8"/>
      <c r="Z91" s="8"/>
    </row>
    <row r="92">
      <c r="A92" s="8"/>
      <c r="B92" s="8"/>
      <c r="C92" s="8"/>
      <c r="D92" s="8"/>
      <c r="E92" s="12"/>
      <c r="F92" s="8"/>
      <c r="G92" s="10"/>
      <c r="H92" s="8" t="s">
        <v>45</v>
      </c>
      <c r="I92" s="12"/>
      <c r="J92" s="8"/>
      <c r="K92" s="8"/>
      <c r="L92" s="8"/>
      <c r="M92" s="8"/>
      <c r="N92" s="8"/>
      <c r="O92" s="8"/>
      <c r="P92" s="8"/>
      <c r="Q92" s="8"/>
      <c r="R92" s="8"/>
      <c r="S92" s="8"/>
      <c r="T92" s="8"/>
      <c r="U92" s="8"/>
      <c r="V92" s="8"/>
      <c r="W92" s="8"/>
      <c r="X92" s="8"/>
      <c r="Y92" s="8"/>
      <c r="Z92" s="8"/>
    </row>
    <row r="93">
      <c r="A93" s="8"/>
      <c r="B93" s="8"/>
      <c r="C93" s="8"/>
      <c r="D93" s="8"/>
      <c r="E93" s="12"/>
      <c r="F93" s="8"/>
      <c r="G93" s="10"/>
      <c r="H93" s="8" t="s">
        <v>45</v>
      </c>
      <c r="I93" s="12"/>
      <c r="J93" s="8"/>
      <c r="K93" s="8"/>
      <c r="L93" s="8"/>
      <c r="M93" s="8"/>
      <c r="N93" s="8"/>
      <c r="O93" s="8"/>
      <c r="P93" s="8"/>
      <c r="Q93" s="8"/>
      <c r="R93" s="8"/>
      <c r="S93" s="8"/>
      <c r="T93" s="8"/>
      <c r="U93" s="8"/>
      <c r="V93" s="8"/>
      <c r="W93" s="8"/>
      <c r="X93" s="8"/>
      <c r="Y93" s="8"/>
      <c r="Z93" s="8"/>
    </row>
    <row r="94">
      <c r="A94" s="8"/>
      <c r="B94" s="8"/>
      <c r="C94" s="8"/>
      <c r="D94" s="8"/>
      <c r="E94" s="12"/>
      <c r="F94" s="8"/>
      <c r="G94" s="10"/>
      <c r="H94" s="8" t="s">
        <v>45</v>
      </c>
      <c r="I94" s="12"/>
      <c r="J94" s="8"/>
      <c r="K94" s="8"/>
      <c r="L94" s="8"/>
      <c r="M94" s="8"/>
      <c r="N94" s="8"/>
      <c r="O94" s="8"/>
      <c r="P94" s="8"/>
      <c r="Q94" s="8"/>
      <c r="R94" s="8"/>
      <c r="S94" s="8"/>
      <c r="T94" s="8"/>
      <c r="U94" s="8"/>
      <c r="V94" s="8"/>
      <c r="W94" s="8"/>
      <c r="X94" s="8"/>
      <c r="Y94" s="8"/>
      <c r="Z94" s="8"/>
    </row>
    <row r="95">
      <c r="A95" s="8"/>
      <c r="B95" s="8"/>
      <c r="C95" s="8"/>
      <c r="D95" s="8"/>
      <c r="E95" s="12"/>
      <c r="F95" s="8"/>
      <c r="G95" s="10"/>
      <c r="H95" s="8" t="s">
        <v>45</v>
      </c>
      <c r="I95" s="12"/>
      <c r="J95" s="8"/>
      <c r="K95" s="8"/>
      <c r="L95" s="8"/>
      <c r="M95" s="8"/>
      <c r="N95" s="8"/>
      <c r="O95" s="8"/>
      <c r="P95" s="8"/>
      <c r="Q95" s="8"/>
      <c r="R95" s="8"/>
      <c r="S95" s="8"/>
      <c r="T95" s="8"/>
      <c r="U95" s="8"/>
      <c r="V95" s="8"/>
      <c r="W95" s="8"/>
      <c r="X95" s="8"/>
      <c r="Y95" s="8"/>
      <c r="Z95" s="8"/>
    </row>
    <row r="96">
      <c r="A96" s="8"/>
      <c r="B96" s="8"/>
      <c r="C96" s="8"/>
      <c r="D96" s="8"/>
      <c r="E96" s="12"/>
      <c r="F96" s="8"/>
      <c r="G96" s="10"/>
      <c r="H96" s="8" t="s">
        <v>45</v>
      </c>
      <c r="I96" s="12"/>
      <c r="J96" s="8"/>
      <c r="K96" s="8"/>
      <c r="L96" s="8"/>
      <c r="M96" s="8"/>
      <c r="N96" s="8"/>
      <c r="O96" s="8"/>
      <c r="P96" s="8"/>
      <c r="Q96" s="8"/>
      <c r="R96" s="8"/>
      <c r="S96" s="8"/>
      <c r="T96" s="8"/>
      <c r="U96" s="8"/>
      <c r="V96" s="8"/>
      <c r="W96" s="8"/>
      <c r="X96" s="8"/>
      <c r="Y96" s="8"/>
      <c r="Z96" s="8"/>
    </row>
    <row r="97">
      <c r="A97" s="8"/>
      <c r="B97" s="8"/>
      <c r="C97" s="8"/>
      <c r="D97" s="8"/>
      <c r="E97" s="12"/>
      <c r="F97" s="8"/>
      <c r="G97" s="10"/>
      <c r="H97" s="8" t="s">
        <v>45</v>
      </c>
      <c r="I97" s="12"/>
      <c r="J97" s="8"/>
      <c r="K97" s="8"/>
      <c r="L97" s="8"/>
      <c r="M97" s="8"/>
      <c r="N97" s="8"/>
      <c r="O97" s="8"/>
      <c r="P97" s="8"/>
      <c r="Q97" s="8"/>
      <c r="R97" s="8"/>
      <c r="S97" s="8"/>
      <c r="T97" s="8"/>
      <c r="U97" s="8"/>
      <c r="V97" s="8"/>
      <c r="W97" s="8"/>
      <c r="X97" s="8"/>
      <c r="Y97" s="8"/>
      <c r="Z97" s="8"/>
    </row>
    <row r="98">
      <c r="A98" s="8"/>
      <c r="B98" s="8"/>
      <c r="C98" s="8"/>
      <c r="D98" s="8"/>
      <c r="E98" s="12"/>
      <c r="F98" s="8"/>
      <c r="G98" s="10"/>
      <c r="H98" s="8" t="s">
        <v>45</v>
      </c>
      <c r="I98" s="12"/>
      <c r="J98" s="8"/>
      <c r="K98" s="8"/>
      <c r="L98" s="8"/>
      <c r="M98" s="8"/>
      <c r="N98" s="8"/>
      <c r="O98" s="8"/>
      <c r="P98" s="8"/>
      <c r="Q98" s="8"/>
      <c r="R98" s="8"/>
      <c r="S98" s="8"/>
      <c r="T98" s="8"/>
      <c r="U98" s="8"/>
      <c r="V98" s="8"/>
      <c r="W98" s="8"/>
      <c r="X98" s="8"/>
      <c r="Y98" s="8"/>
      <c r="Z98" s="8"/>
    </row>
    <row r="99">
      <c r="A99" s="8"/>
      <c r="B99" s="8"/>
      <c r="C99" s="8"/>
      <c r="D99" s="8"/>
      <c r="E99" s="12"/>
      <c r="F99" s="8"/>
      <c r="G99" s="10"/>
      <c r="H99" s="8" t="s">
        <v>45</v>
      </c>
      <c r="I99" s="12"/>
      <c r="J99" s="8"/>
      <c r="K99" s="8"/>
      <c r="L99" s="8"/>
      <c r="M99" s="8"/>
      <c r="N99" s="8"/>
      <c r="O99" s="8"/>
      <c r="P99" s="8"/>
      <c r="Q99" s="8"/>
      <c r="R99" s="8"/>
      <c r="S99" s="8"/>
      <c r="T99" s="8"/>
      <c r="U99" s="8"/>
      <c r="V99" s="8"/>
      <c r="W99" s="8"/>
      <c r="X99" s="8"/>
      <c r="Y99" s="8"/>
      <c r="Z99" s="8"/>
    </row>
  </sheetData>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46.13"/>
    <col customWidth="1" min="3" max="3" width="80.0"/>
  </cols>
  <sheetData>
    <row r="1" ht="39.75" customHeight="1">
      <c r="A1" s="164"/>
      <c r="B1" s="93" t="s">
        <v>3980</v>
      </c>
      <c r="C1" s="94"/>
    </row>
    <row r="2">
      <c r="A2" s="165"/>
      <c r="B2" s="165"/>
      <c r="C2" s="165"/>
    </row>
    <row r="3">
      <c r="A3" s="165"/>
      <c r="B3" s="99" t="s">
        <v>3981</v>
      </c>
      <c r="C3" s="165"/>
    </row>
    <row r="4">
      <c r="A4" s="165"/>
      <c r="B4" s="99" t="s">
        <v>3982</v>
      </c>
      <c r="C4" s="165"/>
    </row>
    <row r="5">
      <c r="A5" s="166"/>
      <c r="B5" s="95" t="s">
        <v>3983</v>
      </c>
      <c r="C5" s="165"/>
    </row>
    <row r="6">
      <c r="A6" s="167"/>
      <c r="B6" s="100" t="s">
        <v>3984</v>
      </c>
      <c r="C6" s="165"/>
    </row>
    <row r="7">
      <c r="A7" s="165"/>
      <c r="B7" s="168"/>
      <c r="C7" s="168"/>
    </row>
    <row r="8" ht="24.0" customHeight="1">
      <c r="A8" s="169"/>
      <c r="B8" s="170" t="s">
        <v>3985</v>
      </c>
      <c r="C8" s="171" t="s">
        <v>3822</v>
      </c>
    </row>
    <row r="9">
      <c r="A9" s="172"/>
      <c r="B9" s="173" t="s">
        <v>3986</v>
      </c>
      <c r="C9" s="174" t="s">
        <v>3987</v>
      </c>
    </row>
    <row r="10">
      <c r="A10" s="169"/>
      <c r="B10" s="173" t="s">
        <v>3988</v>
      </c>
      <c r="C10" s="175" t="s">
        <v>3989</v>
      </c>
    </row>
    <row r="11">
      <c r="A11" s="176"/>
      <c r="B11" s="177" t="s">
        <v>3990</v>
      </c>
      <c r="C11" s="175" t="s">
        <v>3991</v>
      </c>
    </row>
    <row r="12">
      <c r="A12" s="169"/>
      <c r="B12" s="173" t="s">
        <v>3992</v>
      </c>
      <c r="C12" s="174" t="s">
        <v>3993</v>
      </c>
    </row>
    <row r="13">
      <c r="A13" s="172"/>
      <c r="B13" s="173" t="s">
        <v>3994</v>
      </c>
      <c r="C13" s="175" t="s">
        <v>3995</v>
      </c>
    </row>
    <row r="14">
      <c r="A14" s="169"/>
      <c r="B14" s="177" t="s">
        <v>3996</v>
      </c>
      <c r="C14" s="174" t="s">
        <v>3997</v>
      </c>
    </row>
    <row r="15">
      <c r="A15" s="172"/>
      <c r="B15" s="173" t="s">
        <v>3998</v>
      </c>
      <c r="C15" s="174" t="s">
        <v>3999</v>
      </c>
    </row>
    <row r="16">
      <c r="A16" s="169"/>
      <c r="B16" s="173" t="s">
        <v>4000</v>
      </c>
      <c r="C16" s="174" t="s">
        <v>4001</v>
      </c>
    </row>
    <row r="17">
      <c r="A17" s="172"/>
      <c r="B17" s="173" t="s">
        <v>4002</v>
      </c>
      <c r="C17" s="174" t="s">
        <v>4003</v>
      </c>
    </row>
    <row r="18">
      <c r="A18" s="169"/>
      <c r="B18" s="178" t="s">
        <v>275</v>
      </c>
      <c r="C18" s="179" t="s">
        <v>4004</v>
      </c>
    </row>
  </sheetData>
  <mergeCells count="1">
    <mergeCell ref="B1:C1"/>
  </mergeCells>
  <hyperlinks>
    <hyperlink r:id="rId1" ref="B6"/>
  </hyperlinks>
  <drawing r:id="rId2"/>
  <tableParts count="1">
    <tablePart r:id="rId4"/>
  </tableParts>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59.5"/>
    <col customWidth="1" min="3" max="3" width="81.63"/>
  </cols>
  <sheetData>
    <row r="1" ht="38.25" customHeight="1">
      <c r="A1" s="180"/>
      <c r="B1" s="93" t="s">
        <v>4005</v>
      </c>
      <c r="C1" s="94"/>
    </row>
    <row r="2">
      <c r="A2" s="166"/>
      <c r="B2" s="166"/>
      <c r="C2" s="165"/>
    </row>
    <row r="3">
      <c r="A3" s="166"/>
      <c r="B3" s="166" t="s">
        <v>4006</v>
      </c>
      <c r="C3" s="165"/>
    </row>
    <row r="4">
      <c r="A4" s="166"/>
      <c r="B4" s="166" t="s">
        <v>4007</v>
      </c>
      <c r="C4" s="165"/>
    </row>
    <row r="5">
      <c r="A5" s="167"/>
      <c r="B5" s="181" t="s">
        <v>4008</v>
      </c>
      <c r="C5" s="165"/>
    </row>
    <row r="6">
      <c r="A6" s="182"/>
      <c r="B6" s="183"/>
      <c r="C6" s="183"/>
    </row>
    <row r="7" ht="21.75" customHeight="1">
      <c r="A7" s="184"/>
      <c r="B7" s="185" t="s">
        <v>4009</v>
      </c>
      <c r="C7" s="186" t="s">
        <v>3822</v>
      </c>
    </row>
    <row r="8">
      <c r="A8" s="187"/>
      <c r="B8" s="188" t="s">
        <v>4010</v>
      </c>
      <c r="C8" s="189" t="s">
        <v>4011</v>
      </c>
    </row>
    <row r="9">
      <c r="A9" s="190"/>
      <c r="B9" s="188" t="s">
        <v>4012</v>
      </c>
      <c r="C9" s="189" t="s">
        <v>4013</v>
      </c>
    </row>
    <row r="10">
      <c r="A10" s="191"/>
      <c r="B10" s="192" t="s">
        <v>4014</v>
      </c>
      <c r="C10" s="189" t="s">
        <v>4015</v>
      </c>
    </row>
    <row r="11">
      <c r="A11" s="190"/>
      <c r="B11" s="188" t="s">
        <v>4016</v>
      </c>
      <c r="C11" s="189" t="s">
        <v>4017</v>
      </c>
    </row>
    <row r="12">
      <c r="A12" s="191"/>
      <c r="B12" s="192" t="s">
        <v>4018</v>
      </c>
      <c r="C12" s="189" t="s">
        <v>4019</v>
      </c>
    </row>
    <row r="13">
      <c r="A13" s="193"/>
      <c r="B13" s="192" t="s">
        <v>4020</v>
      </c>
      <c r="C13" s="189" t="s">
        <v>4021</v>
      </c>
    </row>
    <row r="14">
      <c r="A14" s="191"/>
      <c r="B14" s="192" t="s">
        <v>4022</v>
      </c>
      <c r="C14" s="189" t="s">
        <v>4023</v>
      </c>
    </row>
    <row r="15">
      <c r="A15" s="193"/>
      <c r="B15" s="192" t="s">
        <v>4024</v>
      </c>
      <c r="C15" s="189" t="s">
        <v>4025</v>
      </c>
    </row>
    <row r="16">
      <c r="A16" s="191"/>
      <c r="B16" s="192" t="s">
        <v>4026</v>
      </c>
      <c r="C16" s="189" t="s">
        <v>4027</v>
      </c>
    </row>
    <row r="17">
      <c r="A17" s="193"/>
      <c r="B17" s="192" t="s">
        <v>4028</v>
      </c>
      <c r="C17" s="189" t="s">
        <v>4029</v>
      </c>
    </row>
    <row r="18">
      <c r="A18" s="187"/>
      <c r="B18" s="188" t="s">
        <v>4030</v>
      </c>
      <c r="C18" s="194" t="s">
        <v>4031</v>
      </c>
    </row>
    <row r="19">
      <c r="A19" s="193"/>
      <c r="B19" s="192" t="s">
        <v>4032</v>
      </c>
      <c r="C19" s="195" t="s">
        <v>4033</v>
      </c>
    </row>
    <row r="20">
      <c r="A20" s="191"/>
      <c r="B20" s="192" t="s">
        <v>4034</v>
      </c>
      <c r="C20" s="189" t="s">
        <v>4035</v>
      </c>
    </row>
    <row r="21">
      <c r="A21" s="144"/>
      <c r="B21" s="196" t="s">
        <v>4036</v>
      </c>
      <c r="C21" s="197" t="s">
        <v>4037</v>
      </c>
    </row>
  </sheetData>
  <mergeCells count="1">
    <mergeCell ref="B1:C1"/>
  </mergeCells>
  <hyperlinks>
    <hyperlink r:id="rId1" ref="B5"/>
    <hyperlink r:id="rId2" ref="C19"/>
  </hyperlinks>
  <drawing r:id="rId3"/>
  <tableParts count="1">
    <tablePart r:id="rId5"/>
  </tableParts>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17.75"/>
    <col customWidth="1" min="3" max="3" width="18.88"/>
    <col customWidth="1" min="4" max="4" width="8.5"/>
    <col customWidth="1" min="5" max="5" width="17.38"/>
    <col customWidth="1" min="6" max="7" width="15.75"/>
    <col customWidth="1" min="8" max="8" width="16.38"/>
    <col customWidth="1" min="9" max="9" width="16.75"/>
    <col customWidth="1" min="10" max="10" width="16.38"/>
  </cols>
  <sheetData>
    <row r="1" ht="39.0" customHeight="1">
      <c r="A1" s="164"/>
      <c r="B1" s="198" t="s">
        <v>4038</v>
      </c>
      <c r="C1" s="94"/>
      <c r="D1" s="94"/>
      <c r="E1" s="94"/>
      <c r="F1" s="94"/>
      <c r="G1" s="94"/>
      <c r="H1" s="94"/>
      <c r="I1" s="94"/>
      <c r="J1" s="199"/>
    </row>
    <row r="2">
      <c r="A2" s="99"/>
      <c r="B2" s="53"/>
      <c r="J2" s="99"/>
    </row>
    <row r="3">
      <c r="A3" s="99"/>
      <c r="B3" s="95" t="s">
        <v>4039</v>
      </c>
      <c r="C3" s="99"/>
      <c r="D3" s="99"/>
      <c r="E3" s="99"/>
      <c r="F3" s="99"/>
      <c r="G3" s="99"/>
      <c r="H3" s="99"/>
      <c r="I3" s="200"/>
      <c r="J3" s="99"/>
    </row>
    <row r="4">
      <c r="A4" s="99"/>
      <c r="B4" s="99" t="s">
        <v>4040</v>
      </c>
      <c r="C4" s="99"/>
      <c r="D4" s="99"/>
      <c r="E4" s="99"/>
      <c r="F4" s="99"/>
      <c r="G4" s="99"/>
      <c r="H4" s="99"/>
      <c r="I4" s="99"/>
      <c r="J4" s="201"/>
    </row>
    <row r="5">
      <c r="A5" s="99"/>
      <c r="B5" s="99" t="s">
        <v>4041</v>
      </c>
      <c r="C5" s="99"/>
      <c r="D5" s="99"/>
      <c r="E5" s="99"/>
      <c r="F5" s="99"/>
      <c r="G5" s="99"/>
      <c r="H5" s="99"/>
      <c r="I5" s="99"/>
      <c r="J5" s="99"/>
    </row>
    <row r="6">
      <c r="A6" s="99"/>
      <c r="B6" s="99" t="s">
        <v>4042</v>
      </c>
      <c r="C6" s="99"/>
      <c r="D6" s="99"/>
      <c r="E6" s="99"/>
      <c r="F6" s="99"/>
      <c r="G6" s="99"/>
      <c r="H6" s="99"/>
      <c r="I6" s="99"/>
      <c r="J6" s="99"/>
    </row>
    <row r="7">
      <c r="A7" s="99"/>
      <c r="B7" s="99" t="s">
        <v>4043</v>
      </c>
      <c r="C7" s="99"/>
      <c r="D7" s="99"/>
      <c r="E7" s="99"/>
      <c r="F7" s="99"/>
      <c r="G7" s="99"/>
      <c r="H7" s="99"/>
      <c r="I7" s="99"/>
      <c r="J7" s="99"/>
    </row>
    <row r="8">
      <c r="A8" s="99"/>
      <c r="B8" s="95" t="s">
        <v>4044</v>
      </c>
      <c r="C8" s="99"/>
      <c r="D8" s="99"/>
      <c r="E8" s="99"/>
      <c r="F8" s="99"/>
      <c r="G8" s="99"/>
      <c r="H8" s="99"/>
      <c r="I8" s="99"/>
      <c r="J8" s="99"/>
    </row>
    <row r="9">
      <c r="A9" s="99"/>
      <c r="B9" s="95" t="s">
        <v>4045</v>
      </c>
      <c r="C9" s="99"/>
      <c r="D9" s="99"/>
      <c r="E9" s="99"/>
      <c r="F9" s="99"/>
      <c r="G9" s="99"/>
      <c r="H9" s="99"/>
      <c r="I9" s="99"/>
      <c r="J9" s="99"/>
    </row>
    <row r="10">
      <c r="A10" s="95"/>
      <c r="B10" s="85"/>
      <c r="C10" s="99"/>
      <c r="D10" s="99"/>
      <c r="E10" s="99"/>
      <c r="F10" s="99"/>
      <c r="G10" s="99"/>
      <c r="H10" s="99"/>
      <c r="I10" s="99"/>
      <c r="J10" s="99"/>
    </row>
    <row r="11">
      <c r="A11" s="95"/>
      <c r="B11" s="85" t="s">
        <v>4046</v>
      </c>
      <c r="C11" s="99"/>
      <c r="D11" s="99"/>
      <c r="E11" s="99"/>
      <c r="F11" s="99"/>
      <c r="G11" s="99"/>
      <c r="H11" s="99"/>
      <c r="I11" s="99"/>
      <c r="J11" s="99"/>
    </row>
    <row r="12">
      <c r="A12" s="95"/>
      <c r="B12" s="54" t="s">
        <v>4047</v>
      </c>
      <c r="C12" s="53"/>
      <c r="D12" s="53"/>
      <c r="E12" s="99"/>
      <c r="F12" s="99"/>
      <c r="G12" s="99"/>
      <c r="H12" s="99"/>
      <c r="I12" s="99"/>
      <c r="J12" s="99"/>
    </row>
    <row r="13">
      <c r="A13" s="99"/>
      <c r="B13" s="202" t="s">
        <v>4048</v>
      </c>
      <c r="C13" s="203"/>
      <c r="D13" s="99"/>
      <c r="E13" s="99"/>
      <c r="F13" s="99"/>
      <c r="G13" s="99"/>
      <c r="H13" s="99"/>
      <c r="I13" s="99"/>
      <c r="J13" s="99"/>
    </row>
    <row r="14">
      <c r="A14" s="99"/>
      <c r="B14" s="204"/>
      <c r="C14" s="203"/>
      <c r="D14" s="99"/>
      <c r="E14" s="99"/>
      <c r="F14" s="99"/>
      <c r="G14" s="99"/>
      <c r="H14" s="99"/>
      <c r="I14" s="99"/>
      <c r="J14" s="99"/>
    </row>
    <row r="15">
      <c r="A15" s="200"/>
      <c r="B15" s="205" t="s">
        <v>3787</v>
      </c>
      <c r="C15" s="206"/>
      <c r="D15" s="99"/>
      <c r="E15" s="99"/>
      <c r="F15" s="99"/>
      <c r="G15" s="99"/>
      <c r="H15" s="99"/>
      <c r="I15" s="99"/>
      <c r="J15" s="99"/>
    </row>
    <row r="16">
      <c r="A16" s="200"/>
      <c r="B16" s="207" t="s">
        <v>56</v>
      </c>
      <c r="C16" s="206"/>
      <c r="D16" s="99"/>
      <c r="E16" s="99"/>
      <c r="F16" s="99"/>
      <c r="G16" s="99"/>
      <c r="H16" s="99"/>
      <c r="I16" s="99"/>
      <c r="J16" s="99"/>
    </row>
    <row r="17">
      <c r="A17" s="200"/>
      <c r="B17" s="207" t="s">
        <v>4049</v>
      </c>
      <c r="C17" s="206"/>
      <c r="D17" s="99"/>
      <c r="E17" s="99"/>
      <c r="F17" s="99"/>
      <c r="G17" s="99"/>
      <c r="H17" s="99"/>
      <c r="I17" s="99"/>
      <c r="J17" s="99"/>
    </row>
    <row r="18">
      <c r="A18" s="200"/>
      <c r="B18" s="207" t="s">
        <v>77</v>
      </c>
      <c r="C18" s="206"/>
      <c r="D18" s="99"/>
      <c r="E18" s="99"/>
      <c r="F18" s="99"/>
      <c r="G18" s="99"/>
      <c r="H18" s="99"/>
      <c r="I18" s="99"/>
      <c r="J18" s="99"/>
    </row>
    <row r="19">
      <c r="A19" s="200"/>
      <c r="B19" s="207" t="s">
        <v>4050</v>
      </c>
      <c r="C19" s="206"/>
      <c r="D19" s="99"/>
      <c r="E19" s="99"/>
      <c r="F19" s="99"/>
      <c r="G19" s="99"/>
      <c r="H19" s="99"/>
      <c r="I19" s="99"/>
      <c r="J19" s="99"/>
    </row>
    <row r="20">
      <c r="A20" s="200"/>
      <c r="B20" s="207" t="s">
        <v>3858</v>
      </c>
      <c r="C20" s="206"/>
      <c r="D20" s="99"/>
      <c r="E20" s="99"/>
      <c r="F20" s="99"/>
      <c r="G20" s="99"/>
      <c r="H20" s="99"/>
      <c r="I20" s="99"/>
      <c r="J20" s="99"/>
    </row>
    <row r="21">
      <c r="A21" s="200"/>
      <c r="B21" s="207" t="s">
        <v>193</v>
      </c>
      <c r="C21" s="206"/>
      <c r="D21" s="99"/>
      <c r="E21" s="99"/>
      <c r="F21" s="99"/>
      <c r="G21" s="99"/>
      <c r="H21" s="99"/>
      <c r="I21" s="99"/>
      <c r="J21" s="99"/>
    </row>
    <row r="22">
      <c r="A22" s="200"/>
      <c r="B22" s="208" t="s">
        <v>78</v>
      </c>
      <c r="C22" s="206"/>
      <c r="D22" s="99"/>
      <c r="E22" s="99"/>
      <c r="F22" s="99"/>
      <c r="G22" s="99"/>
      <c r="H22" s="99"/>
      <c r="I22" s="99"/>
      <c r="J22" s="99"/>
    </row>
    <row r="23">
      <c r="A23" s="99"/>
      <c r="B23" s="201"/>
      <c r="C23" s="99"/>
      <c r="D23" s="99"/>
      <c r="E23" s="99"/>
      <c r="F23" s="99"/>
      <c r="G23" s="99"/>
      <c r="H23" s="99"/>
      <c r="I23" s="99"/>
      <c r="J23" s="99"/>
    </row>
    <row r="24">
      <c r="A24" s="101"/>
      <c r="B24" s="85" t="s">
        <v>4051</v>
      </c>
      <c r="C24" s="99"/>
      <c r="D24" s="99"/>
      <c r="E24" s="99"/>
      <c r="F24" s="99"/>
      <c r="G24" s="99"/>
      <c r="H24" s="99"/>
      <c r="I24" s="99"/>
      <c r="J24" s="99"/>
    </row>
    <row r="25">
      <c r="A25" s="101"/>
      <c r="B25" s="101" t="s">
        <v>4052</v>
      </c>
      <c r="C25" s="99"/>
      <c r="D25" s="99"/>
      <c r="E25" s="99"/>
      <c r="F25" s="99"/>
      <c r="G25" s="99"/>
      <c r="H25" s="99"/>
      <c r="I25" s="99"/>
      <c r="J25" s="200"/>
    </row>
    <row r="26">
      <c r="A26" s="95"/>
      <c r="B26" s="100" t="s">
        <v>4053</v>
      </c>
      <c r="C26" s="95"/>
      <c r="D26" s="99"/>
      <c r="E26" s="99"/>
      <c r="F26" s="99"/>
      <c r="G26" s="99"/>
      <c r="H26" s="99"/>
      <c r="I26" s="99"/>
      <c r="J26" s="200"/>
    </row>
    <row r="27">
      <c r="A27" s="95"/>
      <c r="B27" s="102" t="s">
        <v>4054</v>
      </c>
      <c r="C27" s="95"/>
      <c r="D27" s="99"/>
      <c r="E27" s="99"/>
      <c r="F27" s="99"/>
      <c r="G27" s="99"/>
      <c r="H27" s="99"/>
      <c r="I27" s="99"/>
      <c r="J27" s="200"/>
    </row>
    <row r="28">
      <c r="A28" s="99"/>
      <c r="B28" s="209"/>
      <c r="C28" s="210"/>
      <c r="D28" s="99"/>
      <c r="E28" s="99"/>
      <c r="F28" s="99"/>
      <c r="G28" s="99"/>
      <c r="H28" s="99"/>
      <c r="I28" s="99"/>
      <c r="J28" s="200"/>
    </row>
    <row r="29">
      <c r="A29" s="200"/>
      <c r="B29" s="211" t="s">
        <v>4055</v>
      </c>
      <c r="C29" s="210"/>
      <c r="D29" s="99"/>
      <c r="E29" s="99"/>
      <c r="F29" s="99"/>
      <c r="G29" s="99"/>
      <c r="H29" s="99"/>
      <c r="I29" s="99"/>
      <c r="J29" s="200"/>
    </row>
    <row r="30">
      <c r="A30" s="200"/>
      <c r="B30" s="208" t="s">
        <v>4056</v>
      </c>
      <c r="C30" s="210"/>
      <c r="D30" s="99"/>
      <c r="E30" s="99"/>
      <c r="F30" s="99"/>
      <c r="G30" s="99"/>
      <c r="H30" s="99"/>
      <c r="I30" s="99"/>
      <c r="J30" s="200"/>
    </row>
    <row r="31">
      <c r="A31" s="99"/>
      <c r="B31" s="201"/>
      <c r="C31" s="99"/>
      <c r="D31" s="99"/>
      <c r="E31" s="99"/>
      <c r="F31" s="99"/>
      <c r="G31" s="99"/>
      <c r="H31" s="99"/>
      <c r="I31" s="99"/>
      <c r="J31" s="200"/>
    </row>
    <row r="32">
      <c r="A32" s="95"/>
      <c r="B32" s="85" t="s">
        <v>4057</v>
      </c>
      <c r="C32" s="99"/>
      <c r="D32" s="99"/>
      <c r="E32" s="99"/>
      <c r="F32" s="99"/>
      <c r="G32" s="99"/>
      <c r="H32" s="99"/>
      <c r="I32" s="99"/>
      <c r="J32" s="200"/>
    </row>
    <row r="33">
      <c r="A33" s="95"/>
      <c r="B33" s="102"/>
      <c r="C33" s="103"/>
      <c r="D33" s="103"/>
      <c r="E33" s="103"/>
      <c r="F33" s="103"/>
      <c r="G33" s="103"/>
      <c r="H33" s="103"/>
      <c r="I33" s="103"/>
      <c r="J33" s="212"/>
    </row>
    <row r="34">
      <c r="A34" s="200"/>
      <c r="B34" s="213" t="s">
        <v>4058</v>
      </c>
      <c r="C34" s="214"/>
      <c r="D34" s="215"/>
      <c r="E34" s="215"/>
      <c r="F34" s="215"/>
      <c r="G34" s="215"/>
      <c r="H34" s="215"/>
      <c r="I34" s="215"/>
      <c r="J34" s="216"/>
    </row>
    <row r="35">
      <c r="A35" s="200"/>
      <c r="B35" s="217"/>
      <c r="C35" s="47" t="s">
        <v>46</v>
      </c>
      <c r="D35" s="218" t="s">
        <v>47</v>
      </c>
      <c r="E35" s="219" t="s">
        <v>48</v>
      </c>
      <c r="F35" s="218" t="s">
        <v>4055</v>
      </c>
      <c r="G35" s="219" t="s">
        <v>4059</v>
      </c>
      <c r="H35" s="218" t="s">
        <v>4056</v>
      </c>
      <c r="I35" s="219" t="s">
        <v>63</v>
      </c>
      <c r="J35" s="220" t="s">
        <v>4060</v>
      </c>
    </row>
    <row r="36">
      <c r="A36" s="200"/>
      <c r="B36" s="217"/>
      <c r="C36" s="221"/>
      <c r="D36" s="221"/>
      <c r="E36" s="221"/>
      <c r="F36" s="221"/>
      <c r="G36" s="221"/>
      <c r="H36" s="221"/>
      <c r="I36" s="221"/>
      <c r="J36" s="222"/>
    </row>
    <row r="37">
      <c r="A37" s="200"/>
      <c r="B37" s="223" t="s">
        <v>4061</v>
      </c>
      <c r="C37" s="224"/>
      <c r="D37" s="221"/>
      <c r="E37" s="221"/>
      <c r="F37" s="221"/>
      <c r="G37" s="221"/>
      <c r="H37" s="221"/>
      <c r="I37" s="221"/>
      <c r="J37" s="222"/>
    </row>
    <row r="38">
      <c r="A38" s="200"/>
      <c r="B38" s="225"/>
      <c r="C38" s="226" t="s">
        <v>1697</v>
      </c>
      <c r="D38" s="227" t="s">
        <v>47</v>
      </c>
      <c r="E38" s="228" t="s">
        <v>48</v>
      </c>
      <c r="F38" s="227" t="s">
        <v>4055</v>
      </c>
      <c r="G38" s="228" t="s">
        <v>63</v>
      </c>
      <c r="H38" s="227" t="s">
        <v>4060</v>
      </c>
      <c r="I38" s="229"/>
      <c r="J38" s="230"/>
    </row>
  </sheetData>
  <mergeCells count="2">
    <mergeCell ref="B1:I1"/>
    <mergeCell ref="B2:I2"/>
  </mergeCells>
  <hyperlinks>
    <hyperlink r:id="rId1" ref="B26"/>
  </hyperlinks>
  <drawing r:id="rId2"/>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17.75"/>
    <col customWidth="1" min="3" max="3" width="18.13"/>
    <col customWidth="1" min="6" max="6" width="9.38"/>
    <col customWidth="1" min="7" max="7" width="69.63"/>
  </cols>
  <sheetData>
    <row r="1" ht="39.0" customHeight="1">
      <c r="A1" s="164"/>
      <c r="B1" s="198" t="s">
        <v>4062</v>
      </c>
      <c r="C1" s="94"/>
      <c r="D1" s="94"/>
      <c r="E1" s="94"/>
      <c r="F1" s="94"/>
      <c r="G1" s="94"/>
    </row>
    <row r="2">
      <c r="A2" s="95"/>
      <c r="B2" s="231"/>
      <c r="C2" s="201"/>
      <c r="D2" s="201"/>
      <c r="E2" s="201"/>
      <c r="F2" s="201"/>
      <c r="G2" s="201"/>
    </row>
    <row r="3">
      <c r="A3" s="95"/>
      <c r="B3" s="95" t="s">
        <v>4063</v>
      </c>
      <c r="C3" s="99"/>
      <c r="D3" s="99"/>
      <c r="E3" s="99"/>
      <c r="F3" s="99"/>
      <c r="G3" s="99"/>
    </row>
    <row r="4">
      <c r="A4" s="99"/>
      <c r="B4" s="232" t="s">
        <v>4064</v>
      </c>
      <c r="C4" s="95"/>
      <c r="D4" s="99"/>
      <c r="E4" s="99"/>
      <c r="F4" s="99"/>
      <c r="G4" s="99"/>
    </row>
    <row r="5">
      <c r="A5" s="99"/>
      <c r="B5" s="233" t="s">
        <v>4065</v>
      </c>
      <c r="C5" s="95"/>
      <c r="D5" s="99"/>
      <c r="E5" s="99"/>
      <c r="F5" s="99"/>
      <c r="G5" s="99"/>
    </row>
    <row r="6">
      <c r="A6" s="99"/>
      <c r="B6" s="103"/>
      <c r="C6" s="103"/>
      <c r="D6" s="103"/>
      <c r="E6" s="103"/>
      <c r="F6" s="103"/>
      <c r="G6" s="103"/>
    </row>
    <row r="7">
      <c r="A7" s="234"/>
      <c r="B7" s="235" t="s">
        <v>4066</v>
      </c>
      <c r="C7" s="236"/>
      <c r="D7" s="237"/>
      <c r="E7" s="237"/>
      <c r="F7" s="237"/>
      <c r="G7" s="237"/>
    </row>
    <row r="8" ht="24.75" customHeight="1">
      <c r="A8" s="200"/>
      <c r="B8" s="238" t="s">
        <v>1697</v>
      </c>
      <c r="C8" s="239" t="s">
        <v>4067</v>
      </c>
      <c r="D8" s="240"/>
      <c r="E8" s="240"/>
      <c r="F8" s="240"/>
      <c r="G8" s="240"/>
    </row>
    <row r="9">
      <c r="A9" s="200"/>
      <c r="B9" s="241" t="s">
        <v>4068</v>
      </c>
      <c r="C9" s="242" t="s">
        <v>4069</v>
      </c>
      <c r="D9" s="243"/>
      <c r="E9" s="243"/>
      <c r="F9" s="243"/>
      <c r="G9" s="243"/>
    </row>
    <row r="10">
      <c r="A10" s="200"/>
      <c r="B10" s="244" t="s">
        <v>4070</v>
      </c>
      <c r="C10" s="242" t="s">
        <v>4071</v>
      </c>
      <c r="D10" s="243"/>
      <c r="E10" s="243"/>
      <c r="F10" s="243"/>
      <c r="G10" s="243"/>
    </row>
    <row r="11">
      <c r="A11" s="99"/>
      <c r="B11" s="201"/>
      <c r="C11" s="245"/>
      <c r="D11" s="201"/>
      <c r="E11" s="201"/>
      <c r="F11" s="201"/>
      <c r="G11" s="201"/>
    </row>
    <row r="12">
      <c r="A12" s="99"/>
      <c r="B12" s="99"/>
      <c r="C12" s="99"/>
      <c r="D12" s="99"/>
      <c r="E12" s="99"/>
      <c r="F12" s="99"/>
      <c r="G12" s="99"/>
    </row>
    <row r="13">
      <c r="A13" s="95"/>
      <c r="B13" s="85" t="s">
        <v>4072</v>
      </c>
      <c r="C13" s="99"/>
      <c r="D13" s="99"/>
      <c r="E13" s="99"/>
      <c r="F13" s="99"/>
      <c r="G13" s="99"/>
    </row>
    <row r="14" ht="24.75" customHeight="1">
      <c r="A14" s="102"/>
      <c r="B14" s="246" t="s">
        <v>4073</v>
      </c>
      <c r="C14" s="103"/>
      <c r="D14" s="103"/>
      <c r="E14" s="103"/>
      <c r="F14" s="103"/>
      <c r="G14" s="99"/>
    </row>
    <row r="15">
      <c r="A15" s="247"/>
      <c r="B15" s="248" t="s">
        <v>4074</v>
      </c>
      <c r="C15" s="236"/>
      <c r="D15" s="237"/>
      <c r="E15" s="237"/>
      <c r="F15" s="210"/>
      <c r="G15" s="99"/>
    </row>
    <row r="16" ht="23.25" customHeight="1">
      <c r="A16" s="249"/>
      <c r="B16" s="250" t="s">
        <v>1697</v>
      </c>
      <c r="C16" s="251" t="s">
        <v>4067</v>
      </c>
      <c r="D16" s="240"/>
      <c r="E16" s="240"/>
      <c r="F16" s="210"/>
      <c r="G16" s="99"/>
    </row>
    <row r="17">
      <c r="A17" s="249"/>
      <c r="B17" s="252" t="s">
        <v>4075</v>
      </c>
      <c r="C17" s="253" t="s">
        <v>4076</v>
      </c>
      <c r="D17" s="243"/>
      <c r="E17" s="243"/>
      <c r="F17" s="210"/>
      <c r="G17" s="99"/>
    </row>
    <row r="18">
      <c r="A18" s="249"/>
      <c r="B18" s="254" t="s">
        <v>4077</v>
      </c>
      <c r="C18" s="255" t="s">
        <v>4078</v>
      </c>
      <c r="D18" s="243"/>
      <c r="E18" s="243"/>
      <c r="F18" s="210"/>
      <c r="G18" s="99"/>
    </row>
    <row r="19">
      <c r="A19" s="256"/>
      <c r="B19" s="257" t="s">
        <v>4079</v>
      </c>
      <c r="C19" s="255" t="s">
        <v>4080</v>
      </c>
      <c r="D19" s="243"/>
      <c r="E19" s="243"/>
      <c r="F19" s="210"/>
      <c r="G19" s="200"/>
    </row>
    <row r="20">
      <c r="A20" s="258"/>
      <c r="B20" s="259"/>
      <c r="C20" s="259"/>
      <c r="D20" s="259"/>
      <c r="E20" s="259"/>
      <c r="F20" s="259"/>
      <c r="G20" s="259"/>
    </row>
    <row r="21" ht="24.75" customHeight="1">
      <c r="A21" s="260"/>
      <c r="B21" s="261" t="s">
        <v>4081</v>
      </c>
      <c r="C21" s="262"/>
      <c r="D21" s="262"/>
      <c r="E21" s="262"/>
      <c r="F21" s="262"/>
      <c r="G21" s="263" t="s">
        <v>3822</v>
      </c>
    </row>
    <row r="22">
      <c r="A22" s="260"/>
      <c r="B22" s="264" t="s">
        <v>4082</v>
      </c>
      <c r="G22" s="265" t="s">
        <v>4083</v>
      </c>
    </row>
    <row r="23">
      <c r="A23" s="260"/>
      <c r="B23" s="266" t="s">
        <v>4084</v>
      </c>
      <c r="G23" s="267" t="s">
        <v>4085</v>
      </c>
    </row>
    <row r="24">
      <c r="A24" s="260"/>
      <c r="B24" s="264" t="s">
        <v>4086</v>
      </c>
      <c r="G24" s="265" t="s">
        <v>4087</v>
      </c>
    </row>
    <row r="25">
      <c r="A25" s="268"/>
      <c r="B25" s="266" t="s">
        <v>4088</v>
      </c>
      <c r="G25" s="267" t="s">
        <v>4089</v>
      </c>
    </row>
    <row r="26">
      <c r="A26" s="260"/>
      <c r="B26" s="264" t="s">
        <v>4090</v>
      </c>
      <c r="G26" s="265" t="s">
        <v>4091</v>
      </c>
    </row>
    <row r="27">
      <c r="A27" s="260"/>
      <c r="B27" s="266" t="s">
        <v>4092</v>
      </c>
      <c r="G27" s="267" t="s">
        <v>4093</v>
      </c>
    </row>
    <row r="28">
      <c r="A28" s="260"/>
      <c r="B28" s="269" t="s">
        <v>4094</v>
      </c>
      <c r="C28" s="270"/>
      <c r="D28" s="270"/>
      <c r="E28" s="270"/>
      <c r="F28" s="270"/>
      <c r="G28" s="271" t="s">
        <v>4095</v>
      </c>
    </row>
    <row r="29">
      <c r="A29" s="56"/>
      <c r="B29" s="259"/>
      <c r="C29" s="259"/>
      <c r="D29" s="259"/>
      <c r="E29" s="259"/>
      <c r="F29" s="259"/>
      <c r="G29" s="259"/>
    </row>
    <row r="30">
      <c r="A30" s="272"/>
      <c r="B30" s="273" t="s">
        <v>4096</v>
      </c>
      <c r="C30" s="243"/>
      <c r="D30" s="243"/>
      <c r="E30" s="243"/>
      <c r="F30" s="243"/>
      <c r="G30" s="243"/>
    </row>
    <row r="31">
      <c r="A31" s="272"/>
      <c r="B31" s="273" t="s">
        <v>4097</v>
      </c>
      <c r="C31" s="243"/>
      <c r="D31" s="243"/>
      <c r="E31" s="243"/>
      <c r="F31" s="243"/>
      <c r="G31" s="243"/>
    </row>
    <row r="32">
      <c r="A32" s="83"/>
      <c r="B32" s="274"/>
      <c r="C32" s="72"/>
      <c r="D32" s="72"/>
      <c r="E32" s="72"/>
      <c r="F32" s="72"/>
      <c r="G32" s="72"/>
    </row>
    <row r="33">
      <c r="A33" s="83"/>
      <c r="B33" s="275" t="s">
        <v>4098</v>
      </c>
      <c r="C33" s="276"/>
      <c r="D33" s="276"/>
      <c r="E33" s="276"/>
      <c r="F33" s="276"/>
      <c r="G33" s="276"/>
    </row>
    <row r="34">
      <c r="A34" s="277"/>
      <c r="B34" s="273" t="s">
        <v>4099</v>
      </c>
      <c r="C34" s="243"/>
      <c r="D34" s="243"/>
      <c r="E34" s="83"/>
      <c r="F34" s="83"/>
      <c r="G34" s="56"/>
    </row>
    <row r="35">
      <c r="A35" s="277"/>
      <c r="B35" s="83"/>
      <c r="C35" s="83"/>
      <c r="D35" s="83"/>
      <c r="E35" s="83"/>
      <c r="F35" s="278"/>
      <c r="G35" s="278"/>
    </row>
    <row r="36">
      <c r="A36" s="83"/>
      <c r="B36" s="273" t="s">
        <v>4100</v>
      </c>
      <c r="C36" s="243"/>
      <c r="D36" s="243"/>
      <c r="E36" s="243"/>
      <c r="F36" s="83"/>
      <c r="G36" s="83"/>
    </row>
    <row r="37">
      <c r="A37" s="277"/>
      <c r="B37" s="273" t="s">
        <v>4101</v>
      </c>
      <c r="C37" s="243"/>
      <c r="D37" s="243"/>
      <c r="E37" s="243"/>
      <c r="F37" s="56"/>
      <c r="G37" s="56"/>
    </row>
  </sheetData>
  <mergeCells count="7">
    <mergeCell ref="B1:G1"/>
    <mergeCell ref="B22:F22"/>
    <mergeCell ref="B23:F23"/>
    <mergeCell ref="B24:F24"/>
    <mergeCell ref="B25:F25"/>
    <mergeCell ref="B26:F26"/>
    <mergeCell ref="B27:F27"/>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63"/>
    <col customWidth="1" min="2" max="2" width="12.25"/>
    <col customWidth="1" min="3" max="3" width="18.88"/>
    <col customWidth="1" min="4" max="4" width="67.38"/>
    <col customWidth="1" min="5" max="5" width="18.88"/>
    <col customWidth="1" min="6" max="6" width="16.63"/>
  </cols>
  <sheetData>
    <row r="1" ht="33.0" customHeight="1">
      <c r="A1" s="279"/>
      <c r="B1" s="198" t="s">
        <v>4102</v>
      </c>
      <c r="C1" s="94"/>
      <c r="D1" s="94"/>
      <c r="E1" s="94"/>
      <c r="F1" s="94"/>
      <c r="G1" s="94"/>
    </row>
    <row r="2">
      <c r="A2" s="81"/>
      <c r="B2" s="81"/>
      <c r="C2" s="81"/>
      <c r="D2" s="81"/>
      <c r="E2" s="81"/>
      <c r="F2" s="81"/>
      <c r="G2" s="81"/>
    </row>
    <row r="3">
      <c r="A3" s="280"/>
      <c r="B3" s="280" t="s">
        <v>4103</v>
      </c>
      <c r="C3" s="81"/>
      <c r="D3" s="81"/>
      <c r="E3" s="81"/>
      <c r="F3" s="81"/>
      <c r="G3" s="81"/>
    </row>
    <row r="4">
      <c r="A4" s="81"/>
      <c r="B4" s="281"/>
      <c r="C4" s="281"/>
      <c r="D4" s="281"/>
      <c r="E4" s="281"/>
      <c r="F4" s="281"/>
      <c r="G4" s="281"/>
    </row>
    <row r="5" ht="21.75" customHeight="1">
      <c r="A5" s="282"/>
      <c r="B5" s="283" t="s">
        <v>4104</v>
      </c>
      <c r="C5" s="284"/>
      <c r="D5" s="285"/>
      <c r="E5" s="143" t="s">
        <v>3823</v>
      </c>
      <c r="F5" s="143" t="s">
        <v>3824</v>
      </c>
      <c r="G5" s="286" t="s">
        <v>4105</v>
      </c>
    </row>
    <row r="6">
      <c r="A6" s="287"/>
      <c r="B6" s="288"/>
      <c r="C6" s="289" t="s">
        <v>4106</v>
      </c>
      <c r="D6" s="290" t="s">
        <v>4107</v>
      </c>
      <c r="E6" s="291" t="s">
        <v>2379</v>
      </c>
      <c r="F6" s="291" t="s">
        <v>2379</v>
      </c>
      <c r="G6" s="292" t="s">
        <v>3952</v>
      </c>
    </row>
    <row r="7">
      <c r="A7" s="287"/>
      <c r="B7" s="293"/>
      <c r="C7" s="294" t="s">
        <v>4049</v>
      </c>
      <c r="D7" s="295" t="s">
        <v>4108</v>
      </c>
      <c r="E7" s="296" t="s">
        <v>2379</v>
      </c>
      <c r="F7" s="297" t="s">
        <v>2379</v>
      </c>
      <c r="G7" s="298" t="s">
        <v>2379</v>
      </c>
    </row>
    <row r="8">
      <c r="A8" s="287"/>
      <c r="B8" s="288"/>
      <c r="C8" s="289" t="s">
        <v>4050</v>
      </c>
      <c r="D8" s="289" t="s">
        <v>4109</v>
      </c>
      <c r="E8" s="291" t="s">
        <v>2379</v>
      </c>
      <c r="F8" s="291" t="s">
        <v>2379</v>
      </c>
      <c r="G8" s="299" t="s">
        <v>2379</v>
      </c>
    </row>
    <row r="9">
      <c r="A9" s="287"/>
      <c r="B9" s="293"/>
      <c r="C9" s="294" t="s">
        <v>4110</v>
      </c>
      <c r="D9" s="294" t="s">
        <v>4111</v>
      </c>
      <c r="E9" s="297" t="s">
        <v>2379</v>
      </c>
      <c r="F9" s="300" t="s">
        <v>4112</v>
      </c>
      <c r="G9" s="292" t="s">
        <v>3952</v>
      </c>
    </row>
    <row r="10">
      <c r="A10" s="287"/>
      <c r="B10" s="288"/>
      <c r="C10" s="289" t="s">
        <v>4113</v>
      </c>
      <c r="D10" s="289" t="s">
        <v>4114</v>
      </c>
      <c r="E10" s="291" t="s">
        <v>2379</v>
      </c>
      <c r="F10" s="291" t="s">
        <v>2379</v>
      </c>
      <c r="G10" s="292" t="s">
        <v>3952</v>
      </c>
    </row>
    <row r="11">
      <c r="A11" s="287"/>
      <c r="B11" s="293"/>
      <c r="C11" s="294" t="s">
        <v>4115</v>
      </c>
      <c r="D11" s="294" t="s">
        <v>4116</v>
      </c>
      <c r="E11" s="297" t="s">
        <v>2379</v>
      </c>
      <c r="F11" s="297" t="s">
        <v>2379</v>
      </c>
      <c r="G11" s="292" t="s">
        <v>3952</v>
      </c>
    </row>
    <row r="12">
      <c r="A12" s="287"/>
      <c r="B12" s="301"/>
      <c r="C12" s="302" t="s">
        <v>4117</v>
      </c>
      <c r="D12" s="302" t="s">
        <v>4118</v>
      </c>
      <c r="E12" s="303" t="s">
        <v>2379</v>
      </c>
      <c r="F12" s="303" t="s">
        <v>2379</v>
      </c>
      <c r="G12" s="304" t="s">
        <v>3952</v>
      </c>
    </row>
    <row r="13">
      <c r="A13" s="81"/>
      <c r="B13" s="305"/>
      <c r="C13" s="306"/>
      <c r="D13" s="306"/>
      <c r="E13" s="306"/>
      <c r="F13" s="306"/>
      <c r="G13" s="306"/>
    </row>
    <row r="14">
      <c r="A14" s="282"/>
      <c r="B14" s="283" t="s">
        <v>4119</v>
      </c>
      <c r="C14" s="307"/>
      <c r="D14" s="307"/>
      <c r="E14" s="307"/>
      <c r="F14" s="307"/>
      <c r="G14" s="308"/>
    </row>
    <row r="15">
      <c r="A15" s="309"/>
      <c r="B15" s="310"/>
      <c r="C15" s="311" t="s">
        <v>3858</v>
      </c>
      <c r="D15" s="311" t="s">
        <v>4120</v>
      </c>
      <c r="E15" s="312" t="s">
        <v>2379</v>
      </c>
      <c r="F15" s="312" t="s">
        <v>2379</v>
      </c>
      <c r="G15" s="313" t="s">
        <v>2379</v>
      </c>
    </row>
    <row r="16">
      <c r="A16" s="287"/>
      <c r="B16" s="310"/>
      <c r="C16" s="311" t="s">
        <v>193</v>
      </c>
      <c r="D16" s="311" t="s">
        <v>4121</v>
      </c>
      <c r="E16" s="312" t="s">
        <v>2379</v>
      </c>
      <c r="F16" s="312" t="s">
        <v>2379</v>
      </c>
      <c r="G16" s="313" t="s">
        <v>2379</v>
      </c>
    </row>
    <row r="17">
      <c r="A17" s="309"/>
      <c r="B17" s="310"/>
      <c r="C17" s="311" t="s">
        <v>78</v>
      </c>
      <c r="D17" s="311" t="s">
        <v>4122</v>
      </c>
      <c r="E17" s="312" t="s">
        <v>2379</v>
      </c>
      <c r="F17" s="312" t="s">
        <v>2379</v>
      </c>
      <c r="G17" s="313" t="s">
        <v>2379</v>
      </c>
    </row>
    <row r="18">
      <c r="A18" s="287"/>
      <c r="B18" s="314"/>
      <c r="C18" s="315" t="s">
        <v>4123</v>
      </c>
      <c r="D18" s="316" t="s">
        <v>4124</v>
      </c>
      <c r="E18" s="317" t="s">
        <v>2379</v>
      </c>
      <c r="F18" s="317" t="s">
        <v>2385</v>
      </c>
      <c r="G18" s="304" t="s">
        <v>3952</v>
      </c>
    </row>
    <row r="19">
      <c r="A19" s="81"/>
      <c r="C19" s="318"/>
      <c r="D19" s="318"/>
      <c r="E19" s="318"/>
      <c r="F19" s="318"/>
      <c r="G19" s="318"/>
    </row>
    <row r="20">
      <c r="A20" s="282"/>
      <c r="B20" s="319" t="s">
        <v>4125</v>
      </c>
      <c r="C20" s="320"/>
      <c r="D20" s="320"/>
      <c r="E20" s="320"/>
      <c r="F20" s="320"/>
      <c r="G20" s="321"/>
    </row>
    <row r="21">
      <c r="A21" s="287"/>
      <c r="B21" s="322"/>
      <c r="C21" s="323" t="s">
        <v>4126</v>
      </c>
      <c r="D21" s="323" t="s">
        <v>4127</v>
      </c>
      <c r="E21" s="324" t="s">
        <v>2379</v>
      </c>
      <c r="F21" s="324" t="s">
        <v>2379</v>
      </c>
      <c r="G21" s="325" t="s">
        <v>3952</v>
      </c>
    </row>
    <row r="22">
      <c r="A22" s="287"/>
      <c r="B22" s="310"/>
      <c r="C22" s="311" t="s">
        <v>4128</v>
      </c>
      <c r="D22" s="311" t="s">
        <v>4129</v>
      </c>
      <c r="E22" s="312" t="s">
        <v>2379</v>
      </c>
      <c r="F22" s="312" t="s">
        <v>2385</v>
      </c>
      <c r="G22" s="325" t="s">
        <v>3952</v>
      </c>
    </row>
    <row r="23">
      <c r="A23" s="287"/>
      <c r="B23" s="314"/>
      <c r="C23" s="315" t="s">
        <v>4130</v>
      </c>
      <c r="D23" s="316" t="s">
        <v>4131</v>
      </c>
      <c r="E23" s="317" t="s">
        <v>2379</v>
      </c>
      <c r="F23" s="317" t="s">
        <v>2379</v>
      </c>
      <c r="G23" s="326" t="s">
        <v>3952</v>
      </c>
    </row>
    <row r="24">
      <c r="A24" s="81"/>
      <c r="B24" s="305"/>
      <c r="C24" s="306"/>
      <c r="D24" s="306"/>
      <c r="E24" s="306"/>
      <c r="F24" s="306"/>
      <c r="G24" s="306"/>
    </row>
    <row r="25">
      <c r="A25" s="282"/>
      <c r="B25" s="319" t="s">
        <v>4132</v>
      </c>
      <c r="C25" s="320"/>
      <c r="D25" s="320"/>
      <c r="E25" s="320"/>
      <c r="F25" s="320"/>
      <c r="G25" s="327"/>
    </row>
    <row r="26">
      <c r="A26" s="309"/>
      <c r="B26" s="314"/>
      <c r="C26" s="315" t="s">
        <v>4133</v>
      </c>
      <c r="D26" s="315" t="s">
        <v>4134</v>
      </c>
      <c r="E26" s="317" t="s">
        <v>2379</v>
      </c>
      <c r="F26" s="317" t="s">
        <v>2379</v>
      </c>
      <c r="G26" s="304" t="s">
        <v>3952</v>
      </c>
    </row>
  </sheetData>
  <autoFilter ref="$E$5:$G$12"/>
  <mergeCells count="1">
    <mergeCell ref="B1:G1"/>
  </mergeCells>
  <conditionalFormatting sqref="E6:E12 F6:F8 G7:G8 F10:F12 E15:F18 G15:G17 E21:F23 E26:F26">
    <cfRule type="containsText" dxfId="6" priority="1" operator="containsText" text="YES">
      <formula>NOT(ISERROR(SEARCH(("YES"),(E6))))</formula>
    </cfRule>
  </conditionalFormatting>
  <conditionalFormatting sqref="E6:E12 F6:F8 G7:G8 F10:F12 E15:F18 G15:G17 E21:F23 E26:F26">
    <cfRule type="notContainsText" dxfId="7" priority="2" operator="notContains" text="YES">
      <formula>ISERROR(SEARCH(("YES"),(E6)))</formula>
    </cfRule>
  </conditionalFormatting>
  <drawing r:id="rId1"/>
  <tableParts count="3">
    <tablePart r:id="rId5"/>
    <tablePart r:id="rId6"/>
    <tablePart r:id="rId7"/>
  </tableParts>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9ECC"/>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2.63" defaultRowHeight="15.75" outlineLevelRow="5"/>
  <cols>
    <col customWidth="1" min="1" max="1" width="19.88"/>
    <col customWidth="1" min="2" max="2" width="23.38"/>
    <col customWidth="1" min="3" max="3" width="45.0"/>
    <col customWidth="1" min="4" max="4" width="29.0"/>
    <col customWidth="1" min="6" max="6" width="33.38"/>
    <col customWidth="1" min="7" max="7" width="11.38"/>
    <col customWidth="1" min="9" max="9" width="16.0"/>
    <col customWidth="1" min="12" max="12" width="13.75"/>
    <col customWidth="1" min="15" max="15" width="14.63"/>
    <col customWidth="1" min="16" max="16" width="12.63"/>
    <col customWidth="1" min="17" max="17" width="14.88"/>
    <col customWidth="1" min="18" max="18" width="15.63"/>
    <col customWidth="1" min="19" max="19" width="15.0"/>
    <col customWidth="1" min="21" max="21" width="21.13"/>
    <col customWidth="1" min="22" max="22" width="19.75"/>
    <col customWidth="1" min="23" max="23" width="91.75"/>
    <col customWidth="1" min="24" max="24" width="19.0"/>
    <col customWidth="1" min="26" max="26" width="22.13"/>
    <col customWidth="1" min="27" max="27" width="4.63"/>
    <col customWidth="1" min="28" max="28" width="6.5"/>
    <col customWidth="1" min="29" max="29" width="4.25"/>
    <col customWidth="1" min="31" max="31" width="23.38"/>
    <col customWidth="1" min="32" max="32" width="21.88"/>
    <col customWidth="1" min="33" max="33" width="10.38"/>
    <col customWidth="1" min="34" max="34" width="16.13"/>
  </cols>
  <sheetData>
    <row r="1" ht="27.0" customHeight="1">
      <c r="A1" s="14" t="s">
        <v>46</v>
      </c>
      <c r="B1" s="14" t="s">
        <v>47</v>
      </c>
      <c r="C1" s="15" t="s">
        <v>48</v>
      </c>
      <c r="D1" s="14" t="s">
        <v>49</v>
      </c>
      <c r="E1" s="14" t="s">
        <v>50</v>
      </c>
      <c r="F1" s="14" t="s">
        <v>51</v>
      </c>
      <c r="G1" s="14" t="s">
        <v>52</v>
      </c>
      <c r="H1" s="14" t="s">
        <v>53</v>
      </c>
      <c r="I1" s="14" t="s">
        <v>54</v>
      </c>
      <c r="J1" s="14" t="s">
        <v>55</v>
      </c>
      <c r="K1" s="16" t="s">
        <v>56</v>
      </c>
      <c r="L1" s="14" t="s">
        <v>57</v>
      </c>
      <c r="M1" s="14" t="s">
        <v>58</v>
      </c>
      <c r="N1" s="14" t="s">
        <v>59</v>
      </c>
      <c r="O1" s="14" t="s">
        <v>60</v>
      </c>
      <c r="P1" s="14" t="s">
        <v>61</v>
      </c>
      <c r="Q1" s="15" t="s">
        <v>62</v>
      </c>
      <c r="R1" s="15" t="s">
        <v>63</v>
      </c>
      <c r="S1" s="15" t="s">
        <v>64</v>
      </c>
      <c r="T1" s="15" t="s">
        <v>65</v>
      </c>
      <c r="U1" s="15" t="s">
        <v>66</v>
      </c>
      <c r="V1" s="15" t="s">
        <v>67</v>
      </c>
      <c r="W1" s="15" t="s">
        <v>68</v>
      </c>
      <c r="X1" s="15" t="s">
        <v>69</v>
      </c>
      <c r="Y1" s="4" t="s">
        <v>70</v>
      </c>
      <c r="Z1" s="4" t="s">
        <v>71</v>
      </c>
      <c r="AA1" s="4" t="s">
        <v>72</v>
      </c>
      <c r="AB1" s="4" t="s">
        <v>73</v>
      </c>
      <c r="AC1" s="4" t="s">
        <v>74</v>
      </c>
      <c r="AD1" s="4"/>
      <c r="AE1" s="17" t="s">
        <v>75</v>
      </c>
      <c r="AF1" s="17" t="str">
        <f>IFERROR(__xludf.DUMMYFUNCTION("{""allowed_appearances""; ARRAYFORMULA(
  IF(A2:A615="""","""",
    BYROW(A2:A615, LAMBDA(type_full,
      LET(
        type, INDEX(SPLIT(type_full, "" ""), 1),
        TEXTJOIN("","", TRUE,
          VSTACK(
            IFERROR(
              FILTER(
   "&amp;"             '👀 Appearances'!$B$7:$B$48,
                REGEXMATCH('👀 Appearances'!$D$7:$D$48, ""(^| )"" &amp; type &amp; ""( |$)"")
              ),
              """"
            ),
            IF(type="""","""",
              IF(LEFT(type,6)=""select"",
   "&amp;"             IFERROR(
                  FILTER(
                    '👀 Appearances'!$B$7:$B$48,
                    '👀 Appearances'!$D$7:$D$48 = ""all selects""
                  ),
                  """"
                ),
                """"
        "&amp;"      )
            )
          )
        )
      )
    ))
  )
)}
"),"allowed_appearances")</f>
        <v>allowed_appearances</v>
      </c>
      <c r="AG1" s="14" t="s">
        <v>76</v>
      </c>
      <c r="AH1" s="16" t="s">
        <v>77</v>
      </c>
      <c r="AI1" s="16" t="s">
        <v>78</v>
      </c>
    </row>
    <row r="2">
      <c r="A2" s="18" t="s">
        <v>79</v>
      </c>
      <c r="B2" s="19" t="s">
        <v>79</v>
      </c>
      <c r="C2" s="20"/>
      <c r="D2" s="21"/>
      <c r="E2" s="22"/>
      <c r="F2" s="23"/>
      <c r="G2" s="23"/>
      <c r="H2" s="23"/>
      <c r="I2" s="24"/>
      <c r="J2" s="23"/>
      <c r="K2" s="23"/>
      <c r="L2" s="23"/>
      <c r="M2" s="23"/>
      <c r="N2" s="23"/>
      <c r="O2" s="23"/>
      <c r="P2" s="23"/>
      <c r="Q2" s="23"/>
      <c r="R2" s="23"/>
      <c r="S2" s="23"/>
      <c r="T2" s="23"/>
      <c r="U2" s="21"/>
      <c r="V2" s="23"/>
      <c r="W2" s="21"/>
      <c r="X2" s="25" t="s">
        <v>45</v>
      </c>
      <c r="Y2" s="13" t="s">
        <v>45</v>
      </c>
      <c r="AA2" s="13" t="b">
        <v>0</v>
      </c>
      <c r="AB2" s="13" t="b">
        <v>0</v>
      </c>
      <c r="AC2" s="13" t="b">
        <v>0</v>
      </c>
      <c r="AE2" s="24"/>
      <c r="AF2" s="23" t="str">
        <f>IFERROR(__xludf.DUMMYFUNCTION("""COMPUTED_VALUE"""),"")</f>
        <v/>
      </c>
      <c r="AG2" s="26"/>
      <c r="AH2" s="27"/>
      <c r="AI2" s="27"/>
    </row>
    <row r="3">
      <c r="A3" s="18" t="s">
        <v>80</v>
      </c>
      <c r="B3" s="19" t="s">
        <v>81</v>
      </c>
      <c r="C3" s="18"/>
      <c r="D3" s="27"/>
      <c r="E3" s="18"/>
      <c r="F3" s="27" t="s">
        <v>82</v>
      </c>
      <c r="G3" s="27"/>
      <c r="H3" s="27"/>
      <c r="I3" s="18"/>
      <c r="J3" s="27"/>
      <c r="K3" s="27"/>
      <c r="L3" s="27"/>
      <c r="M3" s="27"/>
      <c r="O3" s="27"/>
      <c r="P3" s="27"/>
      <c r="X3" s="13" t="s">
        <v>45</v>
      </c>
      <c r="Y3" s="13" t="s">
        <v>45</v>
      </c>
      <c r="AA3" s="13" t="b">
        <v>0</v>
      </c>
      <c r="AB3" s="13" t="b">
        <v>0</v>
      </c>
      <c r="AC3" s="13" t="b">
        <v>0</v>
      </c>
      <c r="AE3" s="26"/>
      <c r="AF3" s="27" t="str">
        <f>IFERROR(__xludf.DUMMYFUNCTION("""COMPUTED_VALUE"""),"")</f>
        <v/>
      </c>
      <c r="AG3" s="27"/>
      <c r="AH3" s="27"/>
      <c r="AI3" s="27"/>
    </row>
    <row r="4">
      <c r="A4" s="18" t="s">
        <v>80</v>
      </c>
      <c r="B4" s="19" t="s">
        <v>83</v>
      </c>
      <c r="C4" s="18"/>
      <c r="D4" s="27"/>
      <c r="E4" s="18"/>
      <c r="F4" s="27" t="s">
        <v>84</v>
      </c>
      <c r="G4" s="27"/>
      <c r="H4" s="27"/>
      <c r="I4" s="18"/>
      <c r="J4" s="27"/>
      <c r="K4" s="27"/>
      <c r="L4" s="27"/>
      <c r="M4" s="27"/>
      <c r="O4" s="27"/>
      <c r="P4" s="27"/>
      <c r="X4" s="13" t="s">
        <v>45</v>
      </c>
      <c r="AA4" s="13" t="b">
        <v>0</v>
      </c>
      <c r="AB4" s="13" t="b">
        <v>0</v>
      </c>
      <c r="AC4" s="13" t="b">
        <v>0</v>
      </c>
      <c r="AE4" s="26"/>
      <c r="AF4" s="27" t="str">
        <f>IFERROR(__xludf.DUMMYFUNCTION("""COMPUTED_VALUE"""),"")</f>
        <v/>
      </c>
      <c r="AG4" s="27"/>
      <c r="AH4" s="27"/>
      <c r="AI4" s="27"/>
    </row>
    <row r="5">
      <c r="A5" s="18" t="s">
        <v>80</v>
      </c>
      <c r="B5" s="28" t="s">
        <v>85</v>
      </c>
      <c r="C5" s="29"/>
      <c r="D5" s="27"/>
      <c r="E5" s="27"/>
      <c r="F5" s="27" t="s">
        <v>86</v>
      </c>
      <c r="G5" s="27"/>
      <c r="H5" s="27"/>
      <c r="I5" s="27"/>
      <c r="J5" s="27"/>
      <c r="K5" s="27"/>
      <c r="L5" s="27"/>
      <c r="M5" s="27"/>
      <c r="O5" s="27"/>
      <c r="P5" s="27"/>
      <c r="X5" s="13" t="s">
        <v>45</v>
      </c>
      <c r="Y5" s="13" t="s">
        <v>45</v>
      </c>
      <c r="AA5" s="13" t="b">
        <v>0</v>
      </c>
      <c r="AB5" s="13" t="b">
        <v>0</v>
      </c>
      <c r="AC5" s="13" t="b">
        <v>0</v>
      </c>
      <c r="AE5" s="27"/>
      <c r="AF5" s="27" t="str">
        <f>IFERROR(__xludf.DUMMYFUNCTION("""COMPUTED_VALUE"""),"")</f>
        <v/>
      </c>
      <c r="AG5" s="27"/>
      <c r="AH5" s="27"/>
      <c r="AI5" s="27"/>
    </row>
    <row r="6">
      <c r="A6" s="18" t="s">
        <v>80</v>
      </c>
      <c r="B6" s="30" t="s">
        <v>87</v>
      </c>
      <c r="C6" s="27"/>
      <c r="D6" s="27"/>
      <c r="E6" s="27"/>
      <c r="F6" s="27" t="s">
        <v>88</v>
      </c>
      <c r="G6" s="27"/>
      <c r="H6" s="27"/>
      <c r="I6" s="27"/>
      <c r="J6" s="27"/>
      <c r="K6" s="27"/>
      <c r="L6" s="27"/>
      <c r="M6" s="27"/>
      <c r="O6" s="27"/>
      <c r="P6" s="27"/>
      <c r="X6" s="13" t="s">
        <v>45</v>
      </c>
      <c r="Y6" s="13" t="s">
        <v>45</v>
      </c>
      <c r="AA6" s="13" t="b">
        <v>0</v>
      </c>
      <c r="AB6" s="13" t="b">
        <v>0</v>
      </c>
      <c r="AC6" s="13" t="b">
        <v>0</v>
      </c>
      <c r="AE6" s="27"/>
      <c r="AF6" s="27" t="str">
        <f>IFERROR(__xludf.DUMMYFUNCTION("""COMPUTED_VALUE"""),"")</f>
        <v/>
      </c>
      <c r="AG6" s="27"/>
      <c r="AH6" s="27"/>
      <c r="AI6" s="27"/>
    </row>
    <row r="7">
      <c r="A7" s="27" t="s">
        <v>80</v>
      </c>
      <c r="B7" s="30" t="s">
        <v>89</v>
      </c>
      <c r="C7" s="27"/>
      <c r="D7" s="27"/>
      <c r="E7" s="18"/>
      <c r="F7" s="27" t="s">
        <v>90</v>
      </c>
      <c r="G7" s="27"/>
      <c r="H7" s="27"/>
      <c r="I7" s="27"/>
      <c r="J7" s="27"/>
      <c r="K7" s="27"/>
      <c r="L7" s="27"/>
      <c r="M7" s="27"/>
      <c r="O7" s="27"/>
      <c r="P7" s="27"/>
      <c r="X7" s="13" t="s">
        <v>45</v>
      </c>
      <c r="Y7" s="13" t="s">
        <v>45</v>
      </c>
      <c r="AA7" s="13" t="b">
        <v>0</v>
      </c>
      <c r="AB7" s="13" t="b">
        <v>0</v>
      </c>
      <c r="AC7" s="13" t="b">
        <v>0</v>
      </c>
      <c r="AE7" s="27"/>
      <c r="AF7" s="27" t="str">
        <f>IFERROR(__xludf.DUMMYFUNCTION("""COMPUTED_VALUE"""),"")</f>
        <v/>
      </c>
      <c r="AG7" s="27"/>
      <c r="AH7" s="27"/>
      <c r="AI7" s="27"/>
    </row>
    <row r="8">
      <c r="A8" s="27" t="s">
        <v>80</v>
      </c>
      <c r="B8" s="30" t="s">
        <v>91</v>
      </c>
      <c r="C8" s="27"/>
      <c r="D8" s="27"/>
      <c r="E8" s="18"/>
      <c r="F8" s="27" t="s">
        <v>92</v>
      </c>
      <c r="G8" s="27"/>
      <c r="H8" s="27"/>
      <c r="I8" s="27"/>
      <c r="J8" s="27"/>
      <c r="K8" s="27"/>
      <c r="L8" s="27"/>
      <c r="M8" s="27"/>
      <c r="O8" s="27"/>
      <c r="P8" s="27"/>
      <c r="X8" s="13" t="s">
        <v>45</v>
      </c>
      <c r="Y8" s="13" t="s">
        <v>45</v>
      </c>
      <c r="AA8" s="13" t="b">
        <v>0</v>
      </c>
      <c r="AB8" s="13" t="b">
        <v>0</v>
      </c>
      <c r="AC8" s="13" t="b">
        <v>0</v>
      </c>
      <c r="AE8" s="27"/>
      <c r="AF8" s="27" t="str">
        <f>IFERROR(__xludf.DUMMYFUNCTION("""COMPUTED_VALUE"""),"")</f>
        <v/>
      </c>
      <c r="AG8" s="27"/>
      <c r="AH8" s="27"/>
      <c r="AI8" s="27"/>
    </row>
    <row r="9">
      <c r="A9" s="26" t="s">
        <v>80</v>
      </c>
      <c r="B9" s="31" t="s">
        <v>93</v>
      </c>
      <c r="C9" s="27"/>
      <c r="D9" s="27"/>
      <c r="E9" s="18"/>
      <c r="F9" s="26" t="s">
        <v>94</v>
      </c>
      <c r="G9" s="27"/>
      <c r="H9" s="27"/>
      <c r="I9" s="27"/>
      <c r="J9" s="27"/>
      <c r="K9" s="27"/>
      <c r="L9" s="27"/>
      <c r="M9" s="27"/>
      <c r="O9" s="27"/>
      <c r="P9" s="27"/>
      <c r="AA9" s="13" t="b">
        <v>0</v>
      </c>
      <c r="AB9" s="13" t="b">
        <v>0</v>
      </c>
      <c r="AC9" s="13" t="b">
        <v>0</v>
      </c>
      <c r="AE9" s="26"/>
      <c r="AF9" s="27" t="str">
        <f>IFERROR(__xludf.DUMMYFUNCTION("""COMPUTED_VALUE"""),"")</f>
        <v/>
      </c>
      <c r="AG9" s="27"/>
      <c r="AH9" s="27"/>
      <c r="AI9" s="27"/>
    </row>
    <row r="10">
      <c r="A10" s="27" t="s">
        <v>95</v>
      </c>
      <c r="B10" s="30" t="s">
        <v>95</v>
      </c>
      <c r="C10" s="27"/>
      <c r="D10" s="27"/>
      <c r="E10" s="18"/>
      <c r="F10" s="27"/>
      <c r="G10" s="27"/>
      <c r="H10" s="27"/>
      <c r="I10" s="27"/>
      <c r="J10" s="27"/>
      <c r="K10" s="27"/>
      <c r="L10" s="27"/>
      <c r="M10" s="27"/>
      <c r="O10" s="27"/>
      <c r="P10" s="27"/>
      <c r="X10" s="13" t="s">
        <v>45</v>
      </c>
      <c r="Y10" s="13" t="s">
        <v>45</v>
      </c>
      <c r="AA10" s="13" t="b">
        <v>0</v>
      </c>
      <c r="AB10" s="13" t="b">
        <v>0</v>
      </c>
      <c r="AC10" s="13" t="b">
        <v>0</v>
      </c>
      <c r="AE10" s="26"/>
      <c r="AF10" s="27" t="str">
        <f>IFERROR(__xludf.DUMMYFUNCTION("""COMPUTED_VALUE"""),"")</f>
        <v/>
      </c>
      <c r="AG10" s="27"/>
      <c r="AH10" s="27"/>
      <c r="AI10" s="27"/>
    </row>
    <row r="11">
      <c r="A11" s="27" t="s">
        <v>96</v>
      </c>
      <c r="B11" s="30" t="s">
        <v>96</v>
      </c>
      <c r="C11" s="27"/>
      <c r="D11" s="27"/>
      <c r="E11" s="18"/>
      <c r="F11" s="27"/>
      <c r="G11" s="27"/>
      <c r="H11" s="27"/>
      <c r="I11" s="27"/>
      <c r="J11" s="27"/>
      <c r="K11" s="27"/>
      <c r="L11" s="27"/>
      <c r="M11" s="27"/>
      <c r="O11" s="27"/>
      <c r="P11" s="27"/>
      <c r="X11" s="13" t="s">
        <v>45</v>
      </c>
      <c r="Y11" s="13" t="s">
        <v>45</v>
      </c>
      <c r="AA11" s="13" t="b">
        <v>0</v>
      </c>
      <c r="AB11" s="13" t="b">
        <v>0</v>
      </c>
      <c r="AC11" s="13" t="b">
        <v>0</v>
      </c>
      <c r="AE11" s="27"/>
      <c r="AF11" s="27" t="str">
        <f>IFERROR(__xludf.DUMMYFUNCTION("""COMPUTED_VALUE"""),"")</f>
        <v/>
      </c>
      <c r="AG11" s="27"/>
      <c r="AH11" s="27"/>
      <c r="AI11" s="27"/>
    </row>
    <row r="12">
      <c r="A12" s="27" t="s">
        <v>97</v>
      </c>
      <c r="B12" s="30" t="s">
        <v>97</v>
      </c>
      <c r="C12" s="27"/>
      <c r="D12" s="27"/>
      <c r="E12" s="18"/>
      <c r="F12" s="27"/>
      <c r="G12" s="27"/>
      <c r="H12" s="27"/>
      <c r="I12" s="27"/>
      <c r="J12" s="27"/>
      <c r="K12" s="27"/>
      <c r="L12" s="27"/>
      <c r="M12" s="27"/>
      <c r="O12" s="27"/>
      <c r="P12" s="27"/>
      <c r="X12" s="13" t="s">
        <v>45</v>
      </c>
      <c r="Y12" s="13" t="s">
        <v>45</v>
      </c>
      <c r="AA12" s="13" t="b">
        <v>0</v>
      </c>
      <c r="AB12" s="13" t="b">
        <v>0</v>
      </c>
      <c r="AC12" s="13" t="b">
        <v>0</v>
      </c>
      <c r="AE12" s="27"/>
      <c r="AF12" s="27" t="str">
        <f>IFERROR(__xludf.DUMMYFUNCTION("""COMPUTED_VALUE"""),"")</f>
        <v/>
      </c>
      <c r="AG12" s="27"/>
      <c r="AH12" s="27"/>
      <c r="AI12" s="27"/>
    </row>
    <row r="13">
      <c r="A13" s="27" t="s">
        <v>98</v>
      </c>
      <c r="B13" s="30" t="s">
        <v>98</v>
      </c>
      <c r="C13" s="27"/>
      <c r="D13" s="27"/>
      <c r="E13" s="27"/>
      <c r="F13" s="27"/>
      <c r="G13" s="27"/>
      <c r="H13" s="27"/>
      <c r="I13" s="27"/>
      <c r="J13" s="27"/>
      <c r="K13" s="27"/>
      <c r="L13" s="27"/>
      <c r="M13" s="27"/>
      <c r="O13" s="27"/>
      <c r="P13" s="27"/>
      <c r="X13" s="13" t="s">
        <v>45</v>
      </c>
      <c r="Y13" s="13" t="s">
        <v>45</v>
      </c>
      <c r="AA13" s="13" t="b">
        <v>0</v>
      </c>
      <c r="AB13" s="13" t="b">
        <v>0</v>
      </c>
      <c r="AC13" s="13" t="b">
        <v>0</v>
      </c>
      <c r="AE13" s="27"/>
      <c r="AF13" s="27" t="str">
        <f>IFERROR(__xludf.DUMMYFUNCTION("""COMPUTED_VALUE"""),"")</f>
        <v/>
      </c>
      <c r="AG13" s="27"/>
      <c r="AH13" s="27"/>
      <c r="AI13" s="27"/>
    </row>
    <row r="14">
      <c r="A14" s="27" t="s">
        <v>99</v>
      </c>
      <c r="B14" s="30" t="s">
        <v>99</v>
      </c>
      <c r="C14" s="27"/>
      <c r="D14" s="27"/>
      <c r="E14" s="27"/>
      <c r="F14" s="27"/>
      <c r="G14" s="27"/>
      <c r="H14" s="27"/>
      <c r="I14" s="27"/>
      <c r="J14" s="27"/>
      <c r="K14" s="27"/>
      <c r="L14" s="27"/>
      <c r="M14" s="27"/>
      <c r="O14" s="27"/>
      <c r="P14" s="27"/>
      <c r="X14" s="13" t="s">
        <v>45</v>
      </c>
      <c r="Y14" s="13" t="s">
        <v>45</v>
      </c>
      <c r="AA14" s="13" t="b">
        <v>0</v>
      </c>
      <c r="AB14" s="13" t="b">
        <v>0</v>
      </c>
      <c r="AC14" s="13" t="b">
        <v>0</v>
      </c>
      <c r="AE14" s="27"/>
      <c r="AF14" s="27" t="str">
        <f>IFERROR(__xludf.DUMMYFUNCTION("""COMPUTED_VALUE"""),"")</f>
        <v/>
      </c>
      <c r="AG14" s="27"/>
      <c r="AH14" s="27"/>
      <c r="AI14" s="27"/>
    </row>
    <row r="15">
      <c r="A15" s="27" t="s">
        <v>100</v>
      </c>
      <c r="B15" s="30" t="s">
        <v>100</v>
      </c>
      <c r="C15" s="27"/>
      <c r="D15" s="27"/>
      <c r="E15" s="27"/>
      <c r="F15" s="27"/>
      <c r="G15" s="27"/>
      <c r="H15" s="27"/>
      <c r="I15" s="27"/>
      <c r="J15" s="27"/>
      <c r="K15" s="27"/>
      <c r="L15" s="27"/>
      <c r="M15" s="27"/>
      <c r="O15" s="27"/>
      <c r="P15" s="27"/>
      <c r="X15" s="13" t="s">
        <v>45</v>
      </c>
      <c r="Y15" s="13" t="s">
        <v>45</v>
      </c>
      <c r="AA15" s="13" t="b">
        <v>0</v>
      </c>
      <c r="AB15" s="13" t="b">
        <v>0</v>
      </c>
      <c r="AC15" s="13" t="b">
        <v>0</v>
      </c>
      <c r="AE15" s="27"/>
      <c r="AF15" s="27" t="str">
        <f>IFERROR(__xludf.DUMMYFUNCTION("""COMPUTED_VALUE"""),"")</f>
        <v/>
      </c>
      <c r="AG15" s="27"/>
      <c r="AH15" s="27"/>
      <c r="AI15" s="27"/>
    </row>
    <row r="16">
      <c r="A16" s="27" t="s">
        <v>101</v>
      </c>
      <c r="B16" s="30" t="s">
        <v>102</v>
      </c>
      <c r="C16" s="27"/>
      <c r="D16" s="27"/>
      <c r="E16" s="18"/>
      <c r="F16" s="27"/>
      <c r="G16" s="27"/>
      <c r="H16" s="27"/>
      <c r="I16" s="27"/>
      <c r="J16" s="27"/>
      <c r="K16" s="27"/>
      <c r="L16" s="27"/>
      <c r="M16" s="27"/>
      <c r="O16" s="27"/>
      <c r="P16" s="27"/>
      <c r="X16" s="13" t="s">
        <v>45</v>
      </c>
      <c r="Y16" s="13" t="s">
        <v>45</v>
      </c>
      <c r="AA16" s="13" t="b">
        <v>0</v>
      </c>
      <c r="AB16" s="13" t="b">
        <v>0</v>
      </c>
      <c r="AC16" s="13" t="b">
        <v>0</v>
      </c>
      <c r="AE16" s="27"/>
      <c r="AF16" s="27" t="str">
        <f>IFERROR(__xludf.DUMMYFUNCTION("""COMPUTED_VALUE"""),"")</f>
        <v/>
      </c>
      <c r="AG16" s="27"/>
      <c r="AH16" s="27"/>
      <c r="AI16" s="27"/>
    </row>
    <row r="17">
      <c r="A17" s="27"/>
      <c r="B17" s="30"/>
      <c r="C17" s="27"/>
      <c r="D17" s="27"/>
      <c r="E17" s="18"/>
      <c r="F17" s="27"/>
      <c r="G17" s="27"/>
      <c r="H17" s="27"/>
      <c r="I17" s="27"/>
      <c r="J17" s="27"/>
      <c r="K17" s="27"/>
      <c r="L17" s="27"/>
      <c r="M17" s="27"/>
      <c r="O17" s="27"/>
      <c r="P17" s="27"/>
      <c r="X17" s="13" t="s">
        <v>45</v>
      </c>
      <c r="AA17" s="13" t="b">
        <v>0</v>
      </c>
      <c r="AB17" s="13" t="b">
        <v>0</v>
      </c>
      <c r="AC17" s="13" t="b">
        <v>0</v>
      </c>
      <c r="AE17" s="27"/>
      <c r="AF17" s="27" t="str">
        <f>IFERROR(__xludf.DUMMYFUNCTION("""COMPUTED_VALUE"""),"")</f>
        <v/>
      </c>
      <c r="AG17" s="27"/>
      <c r="AH17" s="27"/>
      <c r="AI17" s="27"/>
    </row>
    <row r="18">
      <c r="A18" s="27" t="s">
        <v>103</v>
      </c>
      <c r="B18" s="30" t="s">
        <v>104</v>
      </c>
      <c r="C18" s="26" t="s">
        <v>105</v>
      </c>
      <c r="D18" s="27"/>
      <c r="E18" s="27" t="s">
        <v>106</v>
      </c>
      <c r="F18" s="27"/>
      <c r="G18" s="27" t="s">
        <v>107</v>
      </c>
      <c r="H18" s="27"/>
      <c r="I18" s="27"/>
      <c r="J18" s="27" t="s">
        <v>108</v>
      </c>
      <c r="K18" s="27"/>
      <c r="L18" s="27"/>
      <c r="M18" s="27"/>
      <c r="O18" s="27"/>
      <c r="P18" s="27"/>
      <c r="V18" s="13" t="s">
        <v>109</v>
      </c>
      <c r="W18" s="13" t="s">
        <v>110</v>
      </c>
      <c r="X18" s="13" t="s">
        <v>111</v>
      </c>
      <c r="Y18" s="13" t="s">
        <v>110</v>
      </c>
      <c r="Z18" s="13" t="s">
        <v>112</v>
      </c>
      <c r="AA18" s="13" t="b">
        <v>0</v>
      </c>
      <c r="AB18" s="13" t="b">
        <v>0</v>
      </c>
      <c r="AC18" s="13" t="b">
        <v>0</v>
      </c>
      <c r="AE18" s="26"/>
      <c r="AF18" s="27" t="str">
        <f>IFERROR(__xludf.DUMMYFUNCTION("""COMPUTED_VALUE"""),"quick,likert,map,minimal,search,columns-pack,columns,columns-n,no-buttons,image-map,label,list-nolabel,list")</f>
        <v>quick,likert,map,minimal,search,columns-pack,columns,columns-n,no-buttons,image-map,label,list-nolabel,list</v>
      </c>
      <c r="AG18" s="27"/>
      <c r="AH18" s="27"/>
      <c r="AI18" s="27"/>
    </row>
    <row r="19">
      <c r="A19" s="27"/>
      <c r="B19" s="30"/>
      <c r="C19" s="32"/>
      <c r="D19" s="27"/>
      <c r="E19" s="27"/>
      <c r="F19" s="27"/>
      <c r="G19" s="27"/>
      <c r="H19" s="27"/>
      <c r="I19" s="27"/>
      <c r="J19" s="27"/>
      <c r="K19" s="27"/>
      <c r="L19" s="27"/>
      <c r="M19" s="27"/>
      <c r="O19" s="27"/>
      <c r="P19" s="27"/>
      <c r="X19" s="13" t="s">
        <v>45</v>
      </c>
      <c r="Y19" s="13" t="s">
        <v>45</v>
      </c>
      <c r="AA19" s="13" t="b">
        <v>0</v>
      </c>
      <c r="AB19" s="13" t="b">
        <v>0</v>
      </c>
      <c r="AC19" s="13" t="b">
        <v>0</v>
      </c>
      <c r="AE19" s="27"/>
      <c r="AF19" s="27" t="str">
        <f>IFERROR(__xludf.DUMMYFUNCTION("""COMPUTED_VALUE"""),"")</f>
        <v/>
      </c>
      <c r="AG19" s="27"/>
      <c r="AH19" s="27"/>
      <c r="AI19" s="27"/>
    </row>
    <row r="20" collapsed="1">
      <c r="A20" s="27" t="s">
        <v>113</v>
      </c>
      <c r="B20" s="30" t="s">
        <v>114</v>
      </c>
      <c r="C20" s="27"/>
      <c r="D20" s="27" t="s">
        <v>115</v>
      </c>
      <c r="E20" s="27" t="s">
        <v>116</v>
      </c>
      <c r="F20" s="27"/>
      <c r="G20" s="27"/>
      <c r="H20" s="27"/>
      <c r="I20" s="27"/>
      <c r="J20" s="27"/>
      <c r="K20" s="27"/>
      <c r="L20" s="27"/>
      <c r="M20" s="27"/>
      <c r="N20" s="13"/>
      <c r="O20" s="27"/>
      <c r="P20" s="27"/>
      <c r="Q20" s="13"/>
      <c r="R20" s="13"/>
      <c r="S20" s="13"/>
      <c r="T20" s="13"/>
      <c r="U20" s="13"/>
      <c r="V20" s="13"/>
      <c r="W20" s="13"/>
      <c r="X20" s="13" t="s">
        <v>45</v>
      </c>
      <c r="Y20" s="13" t="s">
        <v>45</v>
      </c>
      <c r="Z20" s="13"/>
      <c r="AA20" s="13" t="b">
        <v>0</v>
      </c>
      <c r="AB20" s="13" t="b">
        <v>0</v>
      </c>
      <c r="AC20" s="13" t="b">
        <v>0</v>
      </c>
      <c r="AD20" s="13"/>
      <c r="AE20" s="26"/>
      <c r="AF20" s="27" t="str">
        <f>IFERROR(__xludf.DUMMYFUNCTION("""COMPUTED_VALUE"""),"")</f>
        <v/>
      </c>
      <c r="AG20" s="27"/>
      <c r="AH20" s="27"/>
      <c r="AI20" s="27"/>
    </row>
    <row r="21" hidden="1" outlineLevel="1">
      <c r="A21" s="27" t="s">
        <v>76</v>
      </c>
      <c r="B21" s="30" t="s">
        <v>117</v>
      </c>
      <c r="C21" s="27" t="s">
        <v>118</v>
      </c>
      <c r="D21" s="27" t="s">
        <v>119</v>
      </c>
      <c r="E21" s="27"/>
      <c r="F21" s="27"/>
      <c r="G21" s="27"/>
      <c r="H21" s="27"/>
      <c r="I21" s="27"/>
      <c r="J21" s="27"/>
      <c r="K21" s="27"/>
      <c r="L21" s="27"/>
      <c r="M21" s="27"/>
      <c r="O21" s="27"/>
      <c r="P21" s="27"/>
      <c r="W21" s="13" t="s">
        <v>120</v>
      </c>
      <c r="X21" s="13" t="s">
        <v>121</v>
      </c>
      <c r="Y21" s="13" t="s">
        <v>120</v>
      </c>
      <c r="Z21" s="13" t="s">
        <v>122</v>
      </c>
      <c r="AA21" s="13" t="b">
        <v>0</v>
      </c>
      <c r="AB21" s="13" t="b">
        <v>0</v>
      </c>
      <c r="AC21" s="13" t="b">
        <v>0</v>
      </c>
      <c r="AE21" s="27"/>
      <c r="AF21" s="27" t="str">
        <f>IFERROR(__xludf.DUMMYFUNCTION("""COMPUTED_VALUE"""),"")</f>
        <v/>
      </c>
      <c r="AG21" s="27"/>
      <c r="AH21" s="27"/>
      <c r="AI21" s="27"/>
    </row>
    <row r="22" hidden="1" outlineLevel="1">
      <c r="A22" s="27" t="s">
        <v>123</v>
      </c>
      <c r="B22" s="30" t="s">
        <v>124</v>
      </c>
      <c r="C22" s="26" t="s">
        <v>125</v>
      </c>
      <c r="D22" s="27" t="s">
        <v>126</v>
      </c>
      <c r="E22" s="27"/>
      <c r="F22" s="27"/>
      <c r="G22" s="27"/>
      <c r="H22" s="26" t="s">
        <v>127</v>
      </c>
      <c r="I22" s="27"/>
      <c r="J22" s="27"/>
      <c r="K22" s="27"/>
      <c r="L22" s="27"/>
      <c r="M22" s="27"/>
      <c r="O22" s="27"/>
      <c r="P22" s="27"/>
      <c r="U22" s="13" t="s">
        <v>128</v>
      </c>
      <c r="V22" s="13" t="s">
        <v>129</v>
      </c>
      <c r="W22" s="13" t="s">
        <v>130</v>
      </c>
      <c r="X22" s="13" t="s">
        <v>131</v>
      </c>
      <c r="Y22" s="13" t="s">
        <v>132</v>
      </c>
      <c r="Z22" s="13" t="s">
        <v>133</v>
      </c>
      <c r="AA22" s="13" t="b">
        <v>0</v>
      </c>
      <c r="AB22" s="13" t="b">
        <v>0</v>
      </c>
      <c r="AC22" s="13" t="b">
        <v>0</v>
      </c>
      <c r="AE22" s="27"/>
      <c r="AF22" s="27" t="str">
        <f>IFERROR(__xludf.DUMMYFUNCTION("""COMPUTED_VALUE"""),"")</f>
        <v/>
      </c>
      <c r="AG22" s="27"/>
      <c r="AH22" s="27"/>
      <c r="AI22" s="27"/>
    </row>
    <row r="23" hidden="1" outlineLevel="1">
      <c r="A23" s="27" t="s">
        <v>80</v>
      </c>
      <c r="B23" s="30" t="s">
        <v>134</v>
      </c>
      <c r="C23" s="27"/>
      <c r="D23" s="27"/>
      <c r="E23" s="27"/>
      <c r="F23" s="26" t="s">
        <v>135</v>
      </c>
      <c r="G23" s="27"/>
      <c r="H23" s="27"/>
      <c r="I23" s="27"/>
      <c r="J23" s="27"/>
      <c r="K23" s="27"/>
      <c r="L23" s="27"/>
      <c r="M23" s="27"/>
      <c r="O23" s="27"/>
      <c r="P23" s="26" t="s">
        <v>136</v>
      </c>
      <c r="X23" s="13" t="s">
        <v>45</v>
      </c>
      <c r="AA23" s="13" t="b">
        <v>0</v>
      </c>
      <c r="AB23" s="13" t="b">
        <v>0</v>
      </c>
      <c r="AC23" s="13" t="b">
        <v>0</v>
      </c>
      <c r="AE23" s="27"/>
      <c r="AF23" s="27" t="str">
        <f>IFERROR(__xludf.DUMMYFUNCTION("""COMPUTED_VALUE"""),"")</f>
        <v/>
      </c>
      <c r="AG23" s="27"/>
      <c r="AH23" s="27"/>
      <c r="AI23" s="27"/>
    </row>
    <row r="24" hidden="1" outlineLevel="1">
      <c r="A24" s="26" t="s">
        <v>80</v>
      </c>
      <c r="B24" s="31" t="s">
        <v>137</v>
      </c>
      <c r="C24" s="27"/>
      <c r="D24" s="27"/>
      <c r="E24" s="27"/>
      <c r="F24" s="26" t="s">
        <v>138</v>
      </c>
      <c r="G24" s="27"/>
      <c r="H24" s="27"/>
      <c r="I24" s="27"/>
      <c r="J24" s="27"/>
      <c r="K24" s="27"/>
      <c r="L24" s="27"/>
      <c r="M24" s="27"/>
      <c r="O24" s="27"/>
      <c r="P24" s="27"/>
      <c r="AA24" s="13" t="b">
        <v>0</v>
      </c>
      <c r="AB24" s="13" t="b">
        <v>0</v>
      </c>
      <c r="AC24" s="13" t="b">
        <v>0</v>
      </c>
      <c r="AE24" s="27"/>
      <c r="AF24" s="27" t="str">
        <f>IFERROR(__xludf.DUMMYFUNCTION("""COMPUTED_VALUE"""),"")</f>
        <v/>
      </c>
      <c r="AG24" s="27"/>
      <c r="AH24" s="27"/>
      <c r="AI24" s="27"/>
    </row>
    <row r="25" hidden="1" outlineLevel="1">
      <c r="A25" s="27" t="s">
        <v>76</v>
      </c>
      <c r="B25" s="30" t="s">
        <v>139</v>
      </c>
      <c r="C25" s="26" t="s">
        <v>140</v>
      </c>
      <c r="D25" s="27"/>
      <c r="E25" s="27"/>
      <c r="F25" s="27"/>
      <c r="G25" s="27"/>
      <c r="H25" s="27"/>
      <c r="I25" s="27"/>
      <c r="J25" s="27"/>
      <c r="K25" s="27"/>
      <c r="L25" s="27"/>
      <c r="M25" s="27"/>
      <c r="O25" s="27"/>
      <c r="P25" s="26"/>
      <c r="X25" s="13" t="s">
        <v>45</v>
      </c>
      <c r="AA25" s="13" t="b">
        <v>0</v>
      </c>
      <c r="AB25" s="13" t="b">
        <v>0</v>
      </c>
      <c r="AC25" s="13" t="b">
        <v>0</v>
      </c>
      <c r="AE25" s="27"/>
      <c r="AF25" s="27" t="str">
        <f>IFERROR(__xludf.DUMMYFUNCTION("""COMPUTED_VALUE"""),"")</f>
        <v/>
      </c>
      <c r="AG25" s="27"/>
      <c r="AH25" s="27"/>
      <c r="AI25" s="27"/>
    </row>
    <row r="26" hidden="1" outlineLevel="1">
      <c r="A26" s="26" t="s">
        <v>80</v>
      </c>
      <c r="B26" s="31" t="s">
        <v>141</v>
      </c>
      <c r="C26" s="27"/>
      <c r="D26" s="26" t="s">
        <v>142</v>
      </c>
      <c r="E26" s="27"/>
      <c r="F26" s="26" t="s">
        <v>143</v>
      </c>
      <c r="G26" s="27"/>
      <c r="H26" s="27"/>
      <c r="I26" s="27"/>
      <c r="J26" s="27"/>
      <c r="K26" s="27"/>
      <c r="L26" s="27"/>
      <c r="M26" s="27"/>
      <c r="O26" s="27"/>
      <c r="P26" s="27"/>
      <c r="AA26" s="13" t="b">
        <v>0</v>
      </c>
      <c r="AB26" s="13" t="b">
        <v>0</v>
      </c>
      <c r="AC26" s="13" t="b">
        <v>0</v>
      </c>
      <c r="AE26" s="27"/>
      <c r="AF26" s="27" t="str">
        <f>IFERROR(__xludf.DUMMYFUNCTION("""COMPUTED_VALUE"""),"")</f>
        <v/>
      </c>
      <c r="AG26" s="27"/>
      <c r="AH26" s="27"/>
      <c r="AI26" s="27"/>
    </row>
    <row r="27" hidden="1" outlineLevel="1">
      <c r="A27" s="27" t="s">
        <v>144</v>
      </c>
      <c r="B27" s="30" t="s">
        <v>145</v>
      </c>
      <c r="C27" s="27" t="s">
        <v>146</v>
      </c>
      <c r="D27" s="27" t="s">
        <v>147</v>
      </c>
      <c r="E27" s="27" t="s">
        <v>148</v>
      </c>
      <c r="F27" s="27"/>
      <c r="G27" s="27"/>
      <c r="H27" s="27"/>
      <c r="I27" s="27" t="s">
        <v>149</v>
      </c>
      <c r="J27" s="27"/>
      <c r="K27" s="27"/>
      <c r="L27" s="27"/>
      <c r="M27" s="27"/>
      <c r="O27" s="27"/>
      <c r="P27" s="27"/>
      <c r="X27" s="13" t="s">
        <v>45</v>
      </c>
      <c r="AA27" s="13" t="b">
        <v>0</v>
      </c>
      <c r="AB27" s="13" t="b">
        <v>0</v>
      </c>
      <c r="AC27" s="13" t="b">
        <v>0</v>
      </c>
      <c r="AE27" s="27"/>
      <c r="AF27" s="27" t="str">
        <f>IFERROR(__xludf.DUMMYFUNCTION("""COMPUTED_VALUE"""),"quick,likert,map,minimal,search,columns-pack,columns,columns-n,no-buttons,image-map,label,list-nolabel,list")</f>
        <v>quick,likert,map,minimal,search,columns-pack,columns,columns-n,no-buttons,image-map,label,list-nolabel,list</v>
      </c>
      <c r="AG27" s="27"/>
      <c r="AH27" s="27"/>
      <c r="AI27" s="27"/>
    </row>
    <row r="28" hidden="1" outlineLevel="1">
      <c r="A28" s="27" t="s">
        <v>150</v>
      </c>
      <c r="B28" s="31" t="s">
        <v>151</v>
      </c>
      <c r="C28" s="26" t="s">
        <v>152</v>
      </c>
      <c r="D28" s="27" t="s">
        <v>147</v>
      </c>
      <c r="E28" s="27" t="s">
        <v>153</v>
      </c>
      <c r="F28" s="27" t="s">
        <v>154</v>
      </c>
      <c r="G28" s="27" t="s">
        <v>107</v>
      </c>
      <c r="H28" s="27" t="s">
        <v>155</v>
      </c>
      <c r="I28" s="27"/>
      <c r="J28" s="27"/>
      <c r="K28" s="27" t="s">
        <v>156</v>
      </c>
      <c r="L28" s="27"/>
      <c r="M28" s="27"/>
      <c r="O28" s="27"/>
      <c r="P28" s="27"/>
      <c r="X28" s="13" t="s">
        <v>45</v>
      </c>
      <c r="AA28" s="13" t="b">
        <v>0</v>
      </c>
      <c r="AB28" s="13" t="b">
        <v>0</v>
      </c>
      <c r="AC28" s="13" t="b">
        <v>0</v>
      </c>
      <c r="AE28" s="27"/>
      <c r="AF28" s="27" t="str">
        <f>IFERROR(__xludf.DUMMYFUNCTION("""COMPUTED_VALUE"""),"ex:,thousands-sep,counter")</f>
        <v>ex:,thousands-sep,counter</v>
      </c>
      <c r="AG28" s="27"/>
      <c r="AH28" s="27"/>
      <c r="AI28" s="27"/>
    </row>
    <row r="29" hidden="1" outlineLevel="1">
      <c r="A29" s="26" t="s">
        <v>80</v>
      </c>
      <c r="B29" s="31" t="s">
        <v>157</v>
      </c>
      <c r="C29" s="27"/>
      <c r="D29" s="27"/>
      <c r="E29" s="27"/>
      <c r="F29" s="26" t="s">
        <v>158</v>
      </c>
      <c r="G29" s="27"/>
      <c r="H29" s="27"/>
      <c r="I29" s="27"/>
      <c r="J29" s="27"/>
      <c r="K29" s="27"/>
      <c r="L29" s="27"/>
      <c r="M29" s="27"/>
      <c r="O29" s="27"/>
      <c r="P29" s="27"/>
      <c r="AA29" s="13" t="b">
        <v>0</v>
      </c>
      <c r="AB29" s="13" t="b">
        <v>0</v>
      </c>
      <c r="AC29" s="13" t="b">
        <v>0</v>
      </c>
      <c r="AE29" s="27"/>
      <c r="AF29" s="27" t="str">
        <f>IFERROR(__xludf.DUMMYFUNCTION("""COMPUTED_VALUE"""),"")</f>
        <v/>
      </c>
      <c r="AG29" s="27"/>
      <c r="AH29" s="27"/>
      <c r="AI29" s="27"/>
    </row>
    <row r="30" hidden="1" outlineLevel="1">
      <c r="A30" s="26" t="s">
        <v>80</v>
      </c>
      <c r="B30" s="31" t="s">
        <v>159</v>
      </c>
      <c r="C30" s="27"/>
      <c r="D30" s="27"/>
      <c r="E30" s="27"/>
      <c r="F30" s="26" t="s">
        <v>143</v>
      </c>
      <c r="G30" s="27"/>
      <c r="H30" s="27"/>
      <c r="I30" s="27"/>
      <c r="J30" s="27"/>
      <c r="K30" s="27"/>
      <c r="L30" s="27"/>
      <c r="M30" s="27"/>
      <c r="O30" s="27"/>
      <c r="P30" s="27"/>
      <c r="AA30" s="13" t="b">
        <v>0</v>
      </c>
      <c r="AB30" s="13" t="b">
        <v>0</v>
      </c>
      <c r="AC30" s="13" t="b">
        <v>0</v>
      </c>
      <c r="AE30" s="27"/>
      <c r="AF30" s="27" t="str">
        <f>IFERROR(__xludf.DUMMYFUNCTION("""COMPUTED_VALUE"""),"")</f>
        <v/>
      </c>
      <c r="AG30" s="27"/>
      <c r="AH30" s="27"/>
      <c r="AI30" s="27"/>
    </row>
    <row r="31" hidden="1" outlineLevel="1">
      <c r="A31" s="26" t="s">
        <v>80</v>
      </c>
      <c r="B31" s="26" t="s">
        <v>160</v>
      </c>
      <c r="C31" s="26"/>
      <c r="D31" s="27"/>
      <c r="E31" s="27"/>
      <c r="F31" s="26" t="s">
        <v>161</v>
      </c>
      <c r="G31" s="27"/>
      <c r="H31" s="27"/>
      <c r="I31" s="27"/>
      <c r="J31" s="27"/>
      <c r="K31" s="27"/>
      <c r="L31" s="27"/>
      <c r="M31" s="27"/>
      <c r="O31" s="27"/>
      <c r="P31" s="27"/>
      <c r="AA31" s="13" t="b">
        <v>0</v>
      </c>
      <c r="AB31" s="13" t="b">
        <v>0</v>
      </c>
      <c r="AC31" s="13" t="b">
        <v>0</v>
      </c>
      <c r="AE31" s="27"/>
      <c r="AF31" s="27" t="str">
        <f>IFERROR(__xludf.DUMMYFUNCTION("""COMPUTED_VALUE"""),"")</f>
        <v/>
      </c>
      <c r="AG31" s="27"/>
      <c r="AH31" s="27"/>
      <c r="AI31" s="27"/>
    </row>
    <row r="32" hidden="1" outlineLevel="1">
      <c r="A32" s="26" t="s">
        <v>76</v>
      </c>
      <c r="B32" s="26" t="s">
        <v>162</v>
      </c>
      <c r="C32" s="26" t="s">
        <v>163</v>
      </c>
      <c r="D32" s="27"/>
      <c r="E32" s="27"/>
      <c r="F32" s="26"/>
      <c r="G32" s="27"/>
      <c r="H32" s="27"/>
      <c r="I32" s="27"/>
      <c r="J32" s="27"/>
      <c r="K32" s="27"/>
      <c r="L32" s="27"/>
      <c r="M32" s="27"/>
      <c r="O32" s="27"/>
      <c r="P32" s="27"/>
      <c r="AA32" s="13" t="b">
        <v>0</v>
      </c>
      <c r="AB32" s="13" t="b">
        <v>0</v>
      </c>
      <c r="AC32" s="13" t="b">
        <v>0</v>
      </c>
      <c r="AE32" s="27"/>
      <c r="AF32" s="27" t="str">
        <f>IFERROR(__xludf.DUMMYFUNCTION("""COMPUTED_VALUE"""),"")</f>
        <v/>
      </c>
      <c r="AG32" s="27"/>
      <c r="AH32" s="27"/>
      <c r="AI32" s="27"/>
    </row>
    <row r="33" hidden="1" outlineLevel="1">
      <c r="A33" s="26" t="s">
        <v>76</v>
      </c>
      <c r="B33" s="31" t="s">
        <v>164</v>
      </c>
      <c r="C33" s="26" t="s">
        <v>165</v>
      </c>
      <c r="D33" s="27"/>
      <c r="E33" s="27"/>
      <c r="F33" s="26"/>
      <c r="G33" s="27"/>
      <c r="H33" s="27"/>
      <c r="I33" s="27"/>
      <c r="J33" s="27"/>
      <c r="K33" s="27"/>
      <c r="L33" s="27"/>
      <c r="M33" s="27"/>
      <c r="O33" s="27"/>
      <c r="P33" s="27"/>
      <c r="AA33" s="13" t="b">
        <v>0</v>
      </c>
      <c r="AB33" s="13" t="b">
        <v>0</v>
      </c>
      <c r="AC33" s="13" t="b">
        <v>0</v>
      </c>
      <c r="AE33" s="27"/>
      <c r="AF33" s="27" t="str">
        <f>IFERROR(__xludf.DUMMYFUNCTION("""COMPUTED_VALUE"""),"")</f>
        <v/>
      </c>
      <c r="AG33" s="27"/>
      <c r="AH33" s="27"/>
      <c r="AI33" s="27"/>
    </row>
    <row r="34" hidden="1" outlineLevel="1">
      <c r="A34" s="26" t="s">
        <v>80</v>
      </c>
      <c r="B34" s="31" t="s">
        <v>166</v>
      </c>
      <c r="C34" s="27"/>
      <c r="D34" s="27" t="s">
        <v>147</v>
      </c>
      <c r="E34" s="27"/>
      <c r="F34" s="26" t="s">
        <v>167</v>
      </c>
      <c r="G34" s="27"/>
      <c r="H34" s="27"/>
      <c r="I34" s="27"/>
      <c r="J34" s="27"/>
      <c r="K34" s="27"/>
      <c r="L34" s="27"/>
      <c r="M34" s="27"/>
      <c r="O34" s="27"/>
      <c r="P34" s="27"/>
      <c r="X34" s="13" t="s">
        <v>45</v>
      </c>
      <c r="AA34" s="13" t="b">
        <v>0</v>
      </c>
      <c r="AB34" s="13" t="b">
        <v>0</v>
      </c>
      <c r="AC34" s="13" t="b">
        <v>0</v>
      </c>
      <c r="AE34" s="27"/>
      <c r="AF34" s="27" t="str">
        <f>IFERROR(__xludf.DUMMYFUNCTION("""COMPUTED_VALUE"""),"")</f>
        <v/>
      </c>
      <c r="AG34" s="27"/>
      <c r="AH34" s="27"/>
      <c r="AI34" s="27"/>
    </row>
    <row r="35" hidden="1" outlineLevel="1">
      <c r="A35" s="27" t="s">
        <v>80</v>
      </c>
      <c r="B35" s="30" t="s">
        <v>168</v>
      </c>
      <c r="C35" s="27"/>
      <c r="D35" s="27"/>
      <c r="E35" s="27"/>
      <c r="F35" s="26" t="s">
        <v>169</v>
      </c>
      <c r="G35" s="27"/>
      <c r="H35" s="27"/>
      <c r="I35" s="27"/>
      <c r="J35" s="27"/>
      <c r="K35" s="27"/>
      <c r="L35" s="26"/>
      <c r="M35" s="27"/>
      <c r="O35" s="27"/>
      <c r="P35" s="31"/>
      <c r="X35" s="13" t="s">
        <v>45</v>
      </c>
      <c r="Y35" s="13" t="s">
        <v>45</v>
      </c>
      <c r="AA35" s="13" t="b">
        <v>0</v>
      </c>
      <c r="AB35" s="13" t="b">
        <v>0</v>
      </c>
      <c r="AC35" s="13" t="b">
        <v>0</v>
      </c>
      <c r="AE35" s="27"/>
      <c r="AF35" s="27" t="str">
        <f>IFERROR(__xludf.DUMMYFUNCTION("""COMPUTED_VALUE"""),"")</f>
        <v/>
      </c>
      <c r="AG35" s="27"/>
      <c r="AH35" s="27"/>
      <c r="AI35" s="27"/>
    </row>
    <row r="36" hidden="1" outlineLevel="1">
      <c r="A36" s="27"/>
      <c r="B36" s="30"/>
      <c r="C36" s="27"/>
      <c r="D36" s="27"/>
      <c r="E36" s="27"/>
      <c r="F36" s="27"/>
      <c r="G36" s="27"/>
      <c r="H36" s="27"/>
      <c r="I36" s="27"/>
      <c r="J36" s="27"/>
      <c r="K36" s="27"/>
      <c r="L36" s="27"/>
      <c r="M36" s="27"/>
      <c r="O36" s="27"/>
      <c r="P36" s="27"/>
      <c r="X36" s="13" t="s">
        <v>45</v>
      </c>
      <c r="AA36" s="13" t="b">
        <v>0</v>
      </c>
      <c r="AB36" s="13" t="b">
        <v>0</v>
      </c>
      <c r="AC36" s="13" t="b">
        <v>0</v>
      </c>
      <c r="AE36" s="27"/>
      <c r="AF36" s="27" t="str">
        <f>IFERROR(__xludf.DUMMYFUNCTION("""COMPUTED_VALUE"""),"")</f>
        <v/>
      </c>
      <c r="AG36" s="27"/>
      <c r="AH36" s="27"/>
      <c r="AI36" s="27"/>
    </row>
    <row r="37" hidden="1" outlineLevel="1">
      <c r="A37" s="27" t="s">
        <v>170</v>
      </c>
      <c r="B37" s="30" t="s">
        <v>171</v>
      </c>
      <c r="C37" s="27" t="s">
        <v>172</v>
      </c>
      <c r="D37" s="27" t="s">
        <v>173</v>
      </c>
      <c r="E37" s="27"/>
      <c r="F37" s="27"/>
      <c r="G37" s="33" t="s">
        <v>174</v>
      </c>
      <c r="H37" s="26" t="s">
        <v>175</v>
      </c>
      <c r="I37" s="27"/>
      <c r="J37" s="27"/>
      <c r="K37" s="27"/>
      <c r="L37" s="27"/>
      <c r="M37" s="27"/>
      <c r="N37" s="13" t="s">
        <v>176</v>
      </c>
      <c r="O37" s="27"/>
      <c r="P37" s="27" t="s">
        <v>136</v>
      </c>
      <c r="U37" s="13" t="s">
        <v>177</v>
      </c>
      <c r="W37" s="13" t="s">
        <v>178</v>
      </c>
      <c r="X37" s="13" t="s">
        <v>179</v>
      </c>
      <c r="Y37" s="13" t="s">
        <v>178</v>
      </c>
      <c r="Z37" s="13" t="s">
        <v>180</v>
      </c>
      <c r="AA37" s="13" t="b">
        <v>0</v>
      </c>
      <c r="AB37" s="13" t="b">
        <v>0</v>
      </c>
      <c r="AC37" s="13" t="b">
        <v>0</v>
      </c>
      <c r="AE37" s="27"/>
      <c r="AF37" s="27" t="str">
        <f>IFERROR(__xludf.DUMMYFUNCTION("""COMPUTED_VALUE"""),"numbers,multiline,url,ex:,thousands-sep")</f>
        <v>numbers,multiline,url,ex:,thousands-sep</v>
      </c>
      <c r="AG37" s="27"/>
      <c r="AH37" s="27"/>
      <c r="AI37" s="27"/>
    </row>
    <row r="38" hidden="1" outlineLevel="1">
      <c r="A38" s="26" t="s">
        <v>80</v>
      </c>
      <c r="B38" s="31" t="s">
        <v>181</v>
      </c>
      <c r="C38" s="27"/>
      <c r="D38" s="27"/>
      <c r="E38" s="27"/>
      <c r="F38" s="34" t="s">
        <v>182</v>
      </c>
      <c r="G38" s="27"/>
      <c r="H38" s="27"/>
      <c r="I38" s="27"/>
      <c r="J38" s="27"/>
      <c r="K38" s="27"/>
      <c r="L38" s="27"/>
      <c r="M38" s="27"/>
      <c r="O38" s="27"/>
      <c r="P38" s="27"/>
      <c r="AA38" s="13" t="b">
        <v>0</v>
      </c>
      <c r="AB38" s="13" t="b">
        <v>0</v>
      </c>
      <c r="AC38" s="13" t="b">
        <v>0</v>
      </c>
      <c r="AE38" s="27"/>
      <c r="AF38" s="27" t="str">
        <f>IFERROR(__xludf.DUMMYFUNCTION("""COMPUTED_VALUE"""),"")</f>
        <v/>
      </c>
      <c r="AG38" s="27"/>
      <c r="AH38" s="27"/>
      <c r="AI38" s="27"/>
    </row>
    <row r="39" hidden="1" outlineLevel="1">
      <c r="A39" s="27" t="s">
        <v>183</v>
      </c>
      <c r="B39" s="30" t="s">
        <v>184</v>
      </c>
      <c r="C39" s="27" t="s">
        <v>22</v>
      </c>
      <c r="D39" s="27" t="s">
        <v>185</v>
      </c>
      <c r="E39" s="27"/>
      <c r="F39" s="27"/>
      <c r="G39" s="27" t="s">
        <v>186</v>
      </c>
      <c r="H39" s="27"/>
      <c r="I39" s="27"/>
      <c r="J39" s="27"/>
      <c r="K39" s="27"/>
      <c r="L39" s="27"/>
      <c r="M39" s="27"/>
      <c r="O39" s="27"/>
      <c r="P39" s="27"/>
      <c r="W39" s="13" t="s">
        <v>187</v>
      </c>
      <c r="X39" s="13" t="s">
        <v>188</v>
      </c>
      <c r="Y39" s="13" t="s">
        <v>187</v>
      </c>
      <c r="Z39" s="13" t="s">
        <v>189</v>
      </c>
      <c r="AA39" s="13" t="b">
        <v>0</v>
      </c>
      <c r="AB39" s="13" t="b">
        <v>0</v>
      </c>
      <c r="AC39" s="13" t="b">
        <v>0</v>
      </c>
      <c r="AE39" s="27"/>
      <c r="AF39" s="27" t="str">
        <f>IFERROR(__xludf.DUMMYFUNCTION("""COMPUTED_VALUE"""),"placement-map,maps,hide-input")</f>
        <v>placement-map,maps,hide-input</v>
      </c>
      <c r="AG39" s="27"/>
      <c r="AH39" s="27"/>
      <c r="AI39" s="27"/>
    </row>
    <row r="40" hidden="1" outlineLevel="1">
      <c r="A40" s="27" t="s">
        <v>80</v>
      </c>
      <c r="B40" s="30" t="s">
        <v>190</v>
      </c>
      <c r="C40" s="27"/>
      <c r="D40" s="27"/>
      <c r="E40" s="27"/>
      <c r="F40" s="27" t="s">
        <v>191</v>
      </c>
      <c r="G40" s="27"/>
      <c r="H40" s="27"/>
      <c r="I40" s="27"/>
      <c r="J40" s="27"/>
      <c r="K40" s="27"/>
      <c r="L40" s="27"/>
      <c r="M40" s="27"/>
      <c r="O40" s="27"/>
      <c r="P40" s="27" t="s">
        <v>192</v>
      </c>
      <c r="X40" s="13" t="s">
        <v>45</v>
      </c>
      <c r="AA40" s="13" t="b">
        <v>0</v>
      </c>
      <c r="AB40" s="13" t="b">
        <v>0</v>
      </c>
      <c r="AC40" s="13" t="b">
        <v>0</v>
      </c>
      <c r="AE40" s="27"/>
      <c r="AF40" s="27" t="str">
        <f>IFERROR(__xludf.DUMMYFUNCTION("""COMPUTED_VALUE"""),"")</f>
        <v/>
      </c>
      <c r="AG40" s="27"/>
      <c r="AH40" s="27"/>
      <c r="AI40" s="27"/>
    </row>
    <row r="41" hidden="1" outlineLevel="1">
      <c r="A41" s="27"/>
      <c r="B41" s="30"/>
      <c r="C41" s="27"/>
      <c r="D41" s="27"/>
      <c r="E41" s="27"/>
      <c r="F41" s="27"/>
      <c r="G41" s="27"/>
      <c r="H41" s="27"/>
      <c r="I41" s="27"/>
      <c r="J41" s="27"/>
      <c r="K41" s="27"/>
      <c r="L41" s="27"/>
      <c r="M41" s="27"/>
      <c r="O41" s="27"/>
      <c r="P41" s="27"/>
      <c r="X41" s="13" t="s">
        <v>45</v>
      </c>
      <c r="AA41" s="13" t="b">
        <v>0</v>
      </c>
      <c r="AB41" s="13" t="b">
        <v>0</v>
      </c>
      <c r="AC41" s="13" t="b">
        <v>0</v>
      </c>
      <c r="AE41" s="27"/>
      <c r="AF41" s="27" t="str">
        <f>IFERROR(__xludf.DUMMYFUNCTION("""COMPUTED_VALUE"""),"")</f>
        <v/>
      </c>
      <c r="AG41" s="27"/>
      <c r="AH41" s="27"/>
      <c r="AI41" s="27"/>
    </row>
    <row r="42" hidden="1" outlineLevel="1">
      <c r="A42" s="27" t="s">
        <v>193</v>
      </c>
      <c r="B42" s="30" t="s">
        <v>194</v>
      </c>
      <c r="C42" s="27" t="s">
        <v>23</v>
      </c>
      <c r="D42" s="27" t="s">
        <v>185</v>
      </c>
      <c r="E42" s="27"/>
      <c r="F42" s="27"/>
      <c r="G42" s="27" t="s">
        <v>186</v>
      </c>
      <c r="H42" s="27"/>
      <c r="I42" s="27"/>
      <c r="J42" s="27"/>
      <c r="K42" s="27"/>
      <c r="L42" s="27"/>
      <c r="M42" s="27"/>
      <c r="O42" s="27"/>
      <c r="P42" s="27"/>
      <c r="W42" s="13" t="s">
        <v>195</v>
      </c>
      <c r="X42" s="13" t="s">
        <v>196</v>
      </c>
      <c r="Y42" s="13" t="s">
        <v>195</v>
      </c>
      <c r="Z42" s="13" t="s">
        <v>197</v>
      </c>
      <c r="AA42" s="13" t="b">
        <v>0</v>
      </c>
      <c r="AB42" s="13" t="b">
        <v>0</v>
      </c>
      <c r="AC42" s="13" t="b">
        <v>0</v>
      </c>
      <c r="AE42" s="27"/>
      <c r="AF42" s="27" t="str">
        <f>IFERROR(__xludf.DUMMYFUNCTION("""COMPUTED_VALUE"""),"ex:,new")</f>
        <v>ex:,new</v>
      </c>
      <c r="AG42" s="27"/>
      <c r="AH42" s="27"/>
      <c r="AI42" s="27"/>
    </row>
    <row r="43" hidden="1" outlineLevel="1">
      <c r="A43" s="27" t="s">
        <v>170</v>
      </c>
      <c r="B43" s="30" t="s">
        <v>198</v>
      </c>
      <c r="C43" s="27" t="s">
        <v>199</v>
      </c>
      <c r="D43" s="27" t="s">
        <v>200</v>
      </c>
      <c r="E43" s="27"/>
      <c r="F43" s="27"/>
      <c r="G43" s="27"/>
      <c r="H43" s="27"/>
      <c r="I43" s="27"/>
      <c r="J43" s="27"/>
      <c r="K43" s="27" t="s">
        <v>201</v>
      </c>
      <c r="L43" s="27"/>
      <c r="M43" s="27"/>
      <c r="O43" s="27"/>
      <c r="P43" s="27"/>
      <c r="X43" s="13" t="s">
        <v>45</v>
      </c>
      <c r="AA43" s="13" t="b">
        <v>0</v>
      </c>
      <c r="AB43" s="13" t="b">
        <v>0</v>
      </c>
      <c r="AC43" s="13" t="b">
        <v>0</v>
      </c>
      <c r="AE43" s="27"/>
      <c r="AF43" s="27" t="str">
        <f>IFERROR(__xludf.DUMMYFUNCTION("""COMPUTED_VALUE"""),"numbers,multiline,url,ex:,thousands-sep")</f>
        <v>numbers,multiline,url,ex:,thousands-sep</v>
      </c>
      <c r="AG43" s="27"/>
      <c r="AH43" s="27"/>
      <c r="AI43" s="27"/>
    </row>
    <row r="44" hidden="1" outlineLevel="1">
      <c r="A44" s="27" t="s">
        <v>202</v>
      </c>
      <c r="B44" s="30" t="s">
        <v>203</v>
      </c>
      <c r="C44" s="27" t="s">
        <v>204</v>
      </c>
      <c r="D44" s="27" t="s">
        <v>205</v>
      </c>
      <c r="E44" s="27" t="s">
        <v>206</v>
      </c>
      <c r="F44" s="27"/>
      <c r="G44" s="27"/>
      <c r="H44" s="27"/>
      <c r="I44" s="27"/>
      <c r="J44" s="27"/>
      <c r="K44" s="27"/>
      <c r="L44" s="27"/>
      <c r="M44" s="27"/>
      <c r="O44" s="27"/>
      <c r="P44" s="27"/>
      <c r="X44" s="13" t="s">
        <v>45</v>
      </c>
      <c r="AA44" s="13" t="b">
        <v>0</v>
      </c>
      <c r="AB44" s="13" t="b">
        <v>0</v>
      </c>
      <c r="AC44" s="13" t="b">
        <v>0</v>
      </c>
      <c r="AE44" s="27"/>
      <c r="AF44" s="27" t="str">
        <f>IFERROR(__xludf.DUMMYFUNCTION("""COMPUTED_VALUE"""),"quick,likert,map,minimal,search,columns-pack,columns,columns-n,no-buttons,image-map,label,list-nolabel,list")</f>
        <v>quick,likert,map,minimal,search,columns-pack,columns,columns-n,no-buttons,image-map,label,list-nolabel,list</v>
      </c>
      <c r="AG44" s="27"/>
      <c r="AH44" s="27"/>
      <c r="AI44" s="27"/>
    </row>
    <row r="45" hidden="1" outlineLevel="1">
      <c r="A45" s="27" t="s">
        <v>80</v>
      </c>
      <c r="B45" s="30" t="s">
        <v>207</v>
      </c>
      <c r="C45" s="27"/>
      <c r="D45" s="26"/>
      <c r="E45" s="27"/>
      <c r="F45" s="26" t="s">
        <v>208</v>
      </c>
      <c r="G45" s="27"/>
      <c r="H45" s="27"/>
      <c r="I45" s="27"/>
      <c r="J45" s="27"/>
      <c r="K45" s="27"/>
      <c r="L45" s="27"/>
      <c r="M45" s="27"/>
      <c r="O45" s="27"/>
      <c r="P45" s="27"/>
      <c r="V45" s="13" t="s">
        <v>209</v>
      </c>
      <c r="X45" s="13" t="s">
        <v>45</v>
      </c>
      <c r="Y45" s="13" t="s">
        <v>45</v>
      </c>
      <c r="AA45" s="13" t="b">
        <v>0</v>
      </c>
      <c r="AB45" s="13" t="b">
        <v>0</v>
      </c>
      <c r="AC45" s="13" t="b">
        <v>0</v>
      </c>
      <c r="AE45" s="27"/>
      <c r="AF45" s="27" t="str">
        <f>IFERROR(__xludf.DUMMYFUNCTION("""COMPUTED_VALUE"""),"")</f>
        <v/>
      </c>
      <c r="AG45" s="27"/>
      <c r="AH45" s="27"/>
      <c r="AI45" s="27"/>
    </row>
    <row r="46" hidden="1" outlineLevel="1">
      <c r="A46" s="27" t="s">
        <v>80</v>
      </c>
      <c r="B46" s="30" t="s">
        <v>210</v>
      </c>
      <c r="C46" s="27"/>
      <c r="D46" s="27"/>
      <c r="E46" s="27"/>
      <c r="F46" s="27" t="s">
        <v>211</v>
      </c>
      <c r="G46" s="27"/>
      <c r="H46" s="27"/>
      <c r="I46" s="27"/>
      <c r="J46" s="27"/>
      <c r="K46" s="27"/>
      <c r="L46" s="27"/>
      <c r="M46" s="27"/>
      <c r="O46" s="27"/>
      <c r="P46" s="27"/>
      <c r="X46" s="13" t="s">
        <v>45</v>
      </c>
      <c r="Y46" s="13" t="s">
        <v>45</v>
      </c>
      <c r="AA46" s="13" t="b">
        <v>0</v>
      </c>
      <c r="AB46" s="13" t="b">
        <v>0</v>
      </c>
      <c r="AC46" s="13" t="b">
        <v>0</v>
      </c>
      <c r="AE46" s="27"/>
      <c r="AF46" s="27" t="str">
        <f>IFERROR(__xludf.DUMMYFUNCTION("""COMPUTED_VALUE"""),"")</f>
        <v/>
      </c>
      <c r="AG46" s="27"/>
      <c r="AH46" s="27"/>
      <c r="AI46" s="27"/>
    </row>
    <row r="47" hidden="1" outlineLevel="1">
      <c r="A47" s="27" t="s">
        <v>80</v>
      </c>
      <c r="B47" s="30" t="s">
        <v>212</v>
      </c>
      <c r="C47" s="27"/>
      <c r="D47" s="27"/>
      <c r="E47" s="27"/>
      <c r="F47" s="27" t="s">
        <v>213</v>
      </c>
      <c r="G47" s="27"/>
      <c r="H47" s="27"/>
      <c r="I47" s="27"/>
      <c r="J47" s="27"/>
      <c r="K47" s="27"/>
      <c r="L47" s="27"/>
      <c r="M47" s="27"/>
      <c r="O47" s="27"/>
      <c r="P47" s="27"/>
      <c r="X47" s="13" t="s">
        <v>45</v>
      </c>
      <c r="Y47" s="13" t="s">
        <v>45</v>
      </c>
      <c r="AA47" s="13" t="b">
        <v>0</v>
      </c>
      <c r="AB47" s="13" t="b">
        <v>0</v>
      </c>
      <c r="AC47" s="13" t="b">
        <v>0</v>
      </c>
      <c r="AE47" s="27"/>
      <c r="AF47" s="27" t="str">
        <f>IFERROR(__xludf.DUMMYFUNCTION("""COMPUTED_VALUE"""),"")</f>
        <v/>
      </c>
      <c r="AG47" s="27"/>
      <c r="AH47" s="27"/>
      <c r="AI47" s="27"/>
    </row>
    <row r="48" hidden="1" outlineLevel="1">
      <c r="A48" s="27" t="s">
        <v>80</v>
      </c>
      <c r="B48" s="30" t="s">
        <v>214</v>
      </c>
      <c r="C48" s="27"/>
      <c r="D48" s="27"/>
      <c r="E48" s="27"/>
      <c r="F48" s="27" t="s">
        <v>215</v>
      </c>
      <c r="G48" s="27" t="s">
        <v>107</v>
      </c>
      <c r="H48" s="27"/>
      <c r="I48" s="27"/>
      <c r="J48" s="27"/>
      <c r="K48" s="27"/>
      <c r="L48" s="27"/>
      <c r="M48" s="27"/>
      <c r="O48" s="27"/>
      <c r="P48" s="27" t="s">
        <v>216</v>
      </c>
      <c r="X48" s="13" t="s">
        <v>45</v>
      </c>
      <c r="Y48" s="13" t="s">
        <v>45</v>
      </c>
      <c r="AA48" s="13" t="b">
        <v>0</v>
      </c>
      <c r="AB48" s="13" t="b">
        <v>0</v>
      </c>
      <c r="AC48" s="13" t="b">
        <v>0</v>
      </c>
      <c r="AE48" s="27"/>
      <c r="AF48" s="27" t="str">
        <f>IFERROR(__xludf.DUMMYFUNCTION("""COMPUTED_VALUE"""),"")</f>
        <v/>
      </c>
      <c r="AG48" s="27"/>
      <c r="AH48" s="27"/>
      <c r="AI48" s="27"/>
    </row>
    <row r="49" hidden="1" outlineLevel="1">
      <c r="A49" s="27" t="s">
        <v>76</v>
      </c>
      <c r="B49" s="30" t="s">
        <v>217</v>
      </c>
      <c r="C49" s="26" t="s">
        <v>218</v>
      </c>
      <c r="D49" s="27"/>
      <c r="E49" s="27"/>
      <c r="F49" s="27"/>
      <c r="G49" s="27"/>
      <c r="H49" s="27"/>
      <c r="I49" s="27"/>
      <c r="J49" s="27"/>
      <c r="K49" s="27"/>
      <c r="L49" s="27"/>
      <c r="M49" s="27"/>
      <c r="O49" s="27"/>
      <c r="P49" s="27"/>
      <c r="X49" s="13" t="s">
        <v>45</v>
      </c>
      <c r="Y49" s="13" t="s">
        <v>45</v>
      </c>
      <c r="AA49" s="13" t="b">
        <v>0</v>
      </c>
      <c r="AB49" s="13" t="b">
        <v>0</v>
      </c>
      <c r="AC49" s="13" t="b">
        <v>0</v>
      </c>
      <c r="AE49" s="27"/>
      <c r="AF49" s="27" t="str">
        <f>IFERROR(__xludf.DUMMYFUNCTION("""COMPUTED_VALUE"""),"")</f>
        <v/>
      </c>
      <c r="AG49" s="27"/>
      <c r="AH49" s="27"/>
      <c r="AI49" s="27"/>
    </row>
    <row r="50" hidden="1" outlineLevel="1">
      <c r="A50" s="27" t="s">
        <v>80</v>
      </c>
      <c r="B50" s="30" t="s">
        <v>219</v>
      </c>
      <c r="C50" s="27"/>
      <c r="D50" s="27"/>
      <c r="E50" s="27"/>
      <c r="F50" s="27" t="s">
        <v>220</v>
      </c>
      <c r="G50" s="27"/>
      <c r="H50" s="27"/>
      <c r="I50" s="27"/>
      <c r="J50" s="27"/>
      <c r="K50" s="27"/>
      <c r="L50" s="27"/>
      <c r="M50" s="27"/>
      <c r="O50" s="27"/>
      <c r="P50" s="27"/>
      <c r="X50" s="13" t="s">
        <v>45</v>
      </c>
      <c r="AA50" s="13" t="b">
        <v>0</v>
      </c>
      <c r="AB50" s="13" t="b">
        <v>0</v>
      </c>
      <c r="AC50" s="13" t="b">
        <v>0</v>
      </c>
      <c r="AE50" s="27"/>
      <c r="AF50" s="27" t="str">
        <f>IFERROR(__xludf.DUMMYFUNCTION("""COMPUTED_VALUE"""),"")</f>
        <v/>
      </c>
      <c r="AG50" s="27"/>
      <c r="AH50" s="27"/>
      <c r="AI50" s="27"/>
    </row>
    <row r="51" hidden="1" outlineLevel="1">
      <c r="A51" s="27" t="s">
        <v>80</v>
      </c>
      <c r="B51" s="30" t="s">
        <v>221</v>
      </c>
      <c r="C51" s="27"/>
      <c r="D51" s="27"/>
      <c r="E51" s="27"/>
      <c r="F51" s="27" t="s">
        <v>222</v>
      </c>
      <c r="G51" s="27"/>
      <c r="H51" s="27"/>
      <c r="I51" s="27"/>
      <c r="J51" s="27"/>
      <c r="K51" s="27"/>
      <c r="L51" s="27"/>
      <c r="M51" s="27"/>
      <c r="O51" s="27"/>
      <c r="P51" s="27"/>
      <c r="X51" s="13" t="s">
        <v>45</v>
      </c>
      <c r="AA51" s="13" t="b">
        <v>0</v>
      </c>
      <c r="AB51" s="13" t="b">
        <v>0</v>
      </c>
      <c r="AC51" s="13" t="b">
        <v>0</v>
      </c>
      <c r="AE51" s="27"/>
      <c r="AF51" s="27" t="str">
        <f>IFERROR(__xludf.DUMMYFUNCTION("""COMPUTED_VALUE"""),"")</f>
        <v/>
      </c>
      <c r="AG51" s="27"/>
      <c r="AH51" s="27"/>
      <c r="AI51" s="27"/>
    </row>
    <row r="52" hidden="1" outlineLevel="1">
      <c r="A52" s="27" t="s">
        <v>80</v>
      </c>
      <c r="B52" s="30" t="s">
        <v>223</v>
      </c>
      <c r="C52" s="27"/>
      <c r="D52" s="27"/>
      <c r="E52" s="27"/>
      <c r="F52" s="27" t="s">
        <v>224</v>
      </c>
      <c r="G52" s="27"/>
      <c r="H52" s="27"/>
      <c r="I52" s="27"/>
      <c r="J52" s="27"/>
      <c r="K52" s="27"/>
      <c r="L52" s="27"/>
      <c r="M52" s="27"/>
      <c r="O52" s="27"/>
      <c r="P52" s="27"/>
      <c r="X52" s="13" t="s">
        <v>45</v>
      </c>
      <c r="AA52" s="13" t="b">
        <v>0</v>
      </c>
      <c r="AB52" s="13" t="b">
        <v>0</v>
      </c>
      <c r="AC52" s="13" t="b">
        <v>0</v>
      </c>
      <c r="AE52" s="27"/>
      <c r="AF52" s="27" t="str">
        <f>IFERROR(__xludf.DUMMYFUNCTION("""COMPUTED_VALUE"""),"")</f>
        <v/>
      </c>
      <c r="AG52" s="27"/>
      <c r="AH52" s="27"/>
      <c r="AI52" s="27"/>
    </row>
    <row r="53" hidden="1" outlineLevel="1">
      <c r="A53" s="27" t="s">
        <v>80</v>
      </c>
      <c r="B53" s="30" t="s">
        <v>225</v>
      </c>
      <c r="C53" s="27"/>
      <c r="D53" s="27"/>
      <c r="E53" s="27"/>
      <c r="F53" s="27" t="s">
        <v>226</v>
      </c>
      <c r="G53" s="27"/>
      <c r="H53" s="27"/>
      <c r="I53" s="27"/>
      <c r="J53" s="27"/>
      <c r="K53" s="27"/>
      <c r="L53" s="27"/>
      <c r="M53" s="27"/>
      <c r="O53" s="27"/>
      <c r="P53" s="27"/>
      <c r="X53" s="13" t="s">
        <v>45</v>
      </c>
      <c r="AA53" s="13" t="b">
        <v>0</v>
      </c>
      <c r="AB53" s="13" t="b">
        <v>0</v>
      </c>
      <c r="AC53" s="13" t="b">
        <v>0</v>
      </c>
      <c r="AE53" s="27"/>
      <c r="AF53" s="27" t="str">
        <f>IFERROR(__xludf.DUMMYFUNCTION("""COMPUTED_VALUE"""),"")</f>
        <v/>
      </c>
      <c r="AG53" s="27"/>
      <c r="AH53" s="27"/>
      <c r="AI53" s="27"/>
    </row>
    <row r="54" hidden="1" outlineLevel="1">
      <c r="A54" s="27" t="s">
        <v>80</v>
      </c>
      <c r="B54" s="30" t="s">
        <v>227</v>
      </c>
      <c r="C54" s="27"/>
      <c r="D54" s="27"/>
      <c r="E54" s="27"/>
      <c r="F54" s="27" t="s">
        <v>228</v>
      </c>
      <c r="G54" s="27"/>
      <c r="H54" s="27"/>
      <c r="I54" s="27"/>
      <c r="J54" s="27"/>
      <c r="K54" s="27"/>
      <c r="L54" s="27"/>
      <c r="M54" s="27"/>
      <c r="O54" s="27"/>
      <c r="P54" s="27"/>
      <c r="X54" s="13" t="s">
        <v>45</v>
      </c>
      <c r="AA54" s="13" t="b">
        <v>0</v>
      </c>
      <c r="AB54" s="13" t="b">
        <v>0</v>
      </c>
      <c r="AC54" s="13" t="b">
        <v>0</v>
      </c>
      <c r="AE54" s="27"/>
      <c r="AF54" s="27" t="str">
        <f>IFERROR(__xludf.DUMMYFUNCTION("""COMPUTED_VALUE"""),"")</f>
        <v/>
      </c>
      <c r="AG54" s="27"/>
      <c r="AH54" s="27"/>
      <c r="AI54" s="27"/>
    </row>
    <row r="55" hidden="1" outlineLevel="1">
      <c r="A55" s="27"/>
      <c r="B55" s="30"/>
      <c r="C55" s="27"/>
      <c r="D55" s="27"/>
      <c r="E55" s="27"/>
      <c r="F55" s="27"/>
      <c r="G55" s="27"/>
      <c r="H55" s="27"/>
      <c r="I55" s="27"/>
      <c r="J55" s="27"/>
      <c r="K55" s="27"/>
      <c r="L55" s="27"/>
      <c r="M55" s="27"/>
      <c r="O55" s="27"/>
      <c r="P55" s="27"/>
      <c r="X55" s="13" t="s">
        <v>45</v>
      </c>
      <c r="AA55" s="13" t="b">
        <v>0</v>
      </c>
      <c r="AB55" s="13" t="b">
        <v>0</v>
      </c>
      <c r="AC55" s="13" t="b">
        <v>0</v>
      </c>
      <c r="AE55" s="27"/>
      <c r="AF55" s="27" t="str">
        <f>IFERROR(__xludf.DUMMYFUNCTION("""COMPUTED_VALUE"""),"")</f>
        <v/>
      </c>
      <c r="AG55" s="27"/>
      <c r="AH55" s="27"/>
      <c r="AI55" s="27"/>
    </row>
    <row r="56" hidden="1" outlineLevel="1">
      <c r="A56" s="27"/>
      <c r="B56" s="30"/>
      <c r="C56" s="27"/>
      <c r="D56" s="27"/>
      <c r="E56" s="27"/>
      <c r="F56" s="27"/>
      <c r="G56" s="27"/>
      <c r="H56" s="27"/>
      <c r="I56" s="27"/>
      <c r="J56" s="27"/>
      <c r="K56" s="27"/>
      <c r="L56" s="27"/>
      <c r="M56" s="27"/>
      <c r="O56" s="27"/>
      <c r="P56" s="27"/>
      <c r="X56" s="13" t="s">
        <v>45</v>
      </c>
      <c r="AA56" s="13" t="b">
        <v>0</v>
      </c>
      <c r="AB56" s="13" t="b">
        <v>0</v>
      </c>
      <c r="AC56" s="13" t="b">
        <v>0</v>
      </c>
      <c r="AE56" s="27"/>
      <c r="AF56" s="27" t="str">
        <f>IFERROR(__xludf.DUMMYFUNCTION("""COMPUTED_VALUE"""),"")</f>
        <v/>
      </c>
      <c r="AG56" s="27"/>
      <c r="AH56" s="27"/>
      <c r="AI56" s="27"/>
    </row>
    <row r="57" hidden="1" outlineLevel="1">
      <c r="A57" s="27" t="s">
        <v>76</v>
      </c>
      <c r="B57" s="30" t="s">
        <v>229</v>
      </c>
      <c r="C57" s="27" t="s">
        <v>230</v>
      </c>
      <c r="D57" s="27"/>
      <c r="E57" s="27"/>
      <c r="F57" s="27"/>
      <c r="G57" s="27"/>
      <c r="H57" s="27"/>
      <c r="I57" s="27"/>
      <c r="J57" s="27"/>
      <c r="K57" s="27"/>
      <c r="L57" s="27"/>
      <c r="M57" s="27"/>
      <c r="O57" s="27"/>
      <c r="P57" s="27"/>
      <c r="W57" s="13" t="s">
        <v>230</v>
      </c>
      <c r="X57" s="13" t="s">
        <v>45</v>
      </c>
      <c r="Y57" s="13" t="s">
        <v>230</v>
      </c>
      <c r="AA57" s="13" t="b">
        <v>0</v>
      </c>
      <c r="AB57" s="13" t="b">
        <v>0</v>
      </c>
      <c r="AC57" s="13" t="b">
        <v>0</v>
      </c>
      <c r="AE57" s="27"/>
      <c r="AF57" s="27" t="str">
        <f>IFERROR(__xludf.DUMMYFUNCTION("""COMPUTED_VALUE"""),"")</f>
        <v/>
      </c>
      <c r="AG57" s="27"/>
      <c r="AH57" s="27"/>
      <c r="AI57" s="27"/>
    </row>
    <row r="58" hidden="1" outlineLevel="1">
      <c r="A58" s="27" t="s">
        <v>231</v>
      </c>
      <c r="B58" s="30" t="s">
        <v>232</v>
      </c>
      <c r="C58" s="27" t="s">
        <v>233</v>
      </c>
      <c r="D58" s="27" t="s">
        <v>234</v>
      </c>
      <c r="E58" s="27"/>
      <c r="F58" s="27"/>
      <c r="G58" s="27" t="s">
        <v>235</v>
      </c>
      <c r="H58" s="27"/>
      <c r="I58" s="27"/>
      <c r="J58" s="27"/>
      <c r="K58" s="27"/>
      <c r="L58" s="27" t="s">
        <v>236</v>
      </c>
      <c r="M58" s="27"/>
      <c r="O58" s="27"/>
      <c r="P58" s="27"/>
      <c r="U58" s="13" t="s">
        <v>237</v>
      </c>
      <c r="W58" s="13" t="s">
        <v>238</v>
      </c>
      <c r="X58" s="13" t="s">
        <v>239</v>
      </c>
      <c r="Y58" s="13" t="s">
        <v>238</v>
      </c>
      <c r="Z58" s="13" t="s">
        <v>240</v>
      </c>
      <c r="AA58" s="13" t="b">
        <v>0</v>
      </c>
      <c r="AB58" s="13" t="b">
        <v>0</v>
      </c>
      <c r="AC58" s="13" t="b">
        <v>0</v>
      </c>
      <c r="AE58" s="27"/>
      <c r="AF58" s="27" t="str">
        <f>IFERROR(__xludf.DUMMYFUNCTION("""COMPUTED_VALUE"""),"")</f>
        <v/>
      </c>
      <c r="AG58" s="27"/>
      <c r="AH58" s="27"/>
      <c r="AI58" s="27"/>
    </row>
    <row r="59" hidden="1" outlineLevel="1">
      <c r="A59" s="27"/>
      <c r="B59" s="30"/>
      <c r="C59" s="27"/>
      <c r="D59" s="27"/>
      <c r="E59" s="27"/>
      <c r="F59" s="27"/>
      <c r="G59" s="27"/>
      <c r="H59" s="27"/>
      <c r="I59" s="27"/>
      <c r="J59" s="27"/>
      <c r="K59" s="27"/>
      <c r="L59" s="27"/>
      <c r="M59" s="27"/>
      <c r="O59" s="27"/>
      <c r="P59" s="27"/>
      <c r="X59" s="13" t="s">
        <v>45</v>
      </c>
      <c r="Y59" s="13" t="s">
        <v>45</v>
      </c>
      <c r="AA59" s="13" t="b">
        <v>0</v>
      </c>
      <c r="AB59" s="13" t="b">
        <v>0</v>
      </c>
      <c r="AC59" s="13" t="b">
        <v>0</v>
      </c>
      <c r="AE59" s="27"/>
      <c r="AF59" s="27" t="str">
        <f>IFERROR(__xludf.DUMMYFUNCTION("""COMPUTED_VALUE"""),"")</f>
        <v/>
      </c>
      <c r="AG59" s="27"/>
      <c r="AH59" s="27"/>
      <c r="AI59" s="27"/>
    </row>
    <row r="60" hidden="1" outlineLevel="1">
      <c r="A60" s="27"/>
      <c r="B60" s="30"/>
      <c r="C60" s="27"/>
      <c r="D60" s="27"/>
      <c r="E60" s="27"/>
      <c r="F60" s="27"/>
      <c r="G60" s="27"/>
      <c r="H60" s="27"/>
      <c r="I60" s="27"/>
      <c r="J60" s="27"/>
      <c r="K60" s="27"/>
      <c r="L60" s="27"/>
      <c r="M60" s="27"/>
      <c r="O60" s="27"/>
      <c r="P60" s="27"/>
      <c r="X60" s="13" t="s">
        <v>45</v>
      </c>
      <c r="Y60" s="13" t="s">
        <v>45</v>
      </c>
      <c r="AA60" s="13" t="b">
        <v>0</v>
      </c>
      <c r="AB60" s="13" t="b">
        <v>0</v>
      </c>
      <c r="AC60" s="13" t="b">
        <v>0</v>
      </c>
      <c r="AE60" s="27"/>
      <c r="AF60" s="27" t="str">
        <f>IFERROR(__xludf.DUMMYFUNCTION("""COMPUTED_VALUE"""),"")</f>
        <v/>
      </c>
      <c r="AG60" s="27"/>
      <c r="AH60" s="27"/>
      <c r="AI60" s="27"/>
    </row>
    <row r="61" hidden="1" outlineLevel="1" collapsed="1">
      <c r="A61" s="27" t="s">
        <v>113</v>
      </c>
      <c r="B61" s="30" t="s">
        <v>241</v>
      </c>
      <c r="C61" s="27"/>
      <c r="D61" s="27" t="s">
        <v>242</v>
      </c>
      <c r="E61" s="27"/>
      <c r="F61" s="27"/>
      <c r="G61" s="27"/>
      <c r="H61" s="27"/>
      <c r="I61" s="27"/>
      <c r="J61" s="27"/>
      <c r="K61" s="27"/>
      <c r="L61" s="27"/>
      <c r="M61" s="27"/>
      <c r="N61" s="13"/>
      <c r="O61" s="27"/>
      <c r="P61" s="27"/>
      <c r="Q61" s="13"/>
      <c r="R61" s="13"/>
      <c r="S61" s="13"/>
      <c r="T61" s="13"/>
      <c r="U61" s="13"/>
      <c r="V61" s="13"/>
      <c r="W61" s="13"/>
      <c r="X61" s="13" t="s">
        <v>45</v>
      </c>
      <c r="Y61" s="13" t="s">
        <v>45</v>
      </c>
      <c r="Z61" s="13"/>
      <c r="AA61" s="13" t="b">
        <v>0</v>
      </c>
      <c r="AB61" s="13" t="b">
        <v>0</v>
      </c>
      <c r="AC61" s="13" t="b">
        <v>0</v>
      </c>
      <c r="AD61" s="13"/>
      <c r="AE61" s="27"/>
      <c r="AF61" s="27" t="str">
        <f>IFERROR(__xludf.DUMMYFUNCTION("""COMPUTED_VALUE"""),"")</f>
        <v/>
      </c>
      <c r="AG61" s="27"/>
      <c r="AH61" s="27"/>
      <c r="AI61" s="27"/>
    </row>
    <row r="62" hidden="1" outlineLevel="2">
      <c r="A62" s="27" t="s">
        <v>150</v>
      </c>
      <c r="B62" s="30" t="s">
        <v>243</v>
      </c>
      <c r="C62" s="27" t="s">
        <v>244</v>
      </c>
      <c r="D62" s="27"/>
      <c r="E62" s="27"/>
      <c r="F62" s="27"/>
      <c r="G62" s="27"/>
      <c r="H62" s="27" t="s">
        <v>245</v>
      </c>
      <c r="I62" s="27"/>
      <c r="J62" s="27" t="s">
        <v>246</v>
      </c>
      <c r="K62" s="27"/>
      <c r="L62" s="27"/>
      <c r="M62" s="27"/>
      <c r="O62" s="27"/>
      <c r="P62" s="27"/>
      <c r="W62" s="13" t="s">
        <v>247</v>
      </c>
      <c r="X62" s="13" t="s">
        <v>45</v>
      </c>
      <c r="Y62" s="13" t="s">
        <v>247</v>
      </c>
      <c r="AA62" s="13" t="b">
        <v>0</v>
      </c>
      <c r="AB62" s="13" t="b">
        <v>0</v>
      </c>
      <c r="AC62" s="13" t="b">
        <v>0</v>
      </c>
      <c r="AE62" s="27"/>
      <c r="AF62" s="27" t="str">
        <f>IFERROR(__xludf.DUMMYFUNCTION("""COMPUTED_VALUE"""),"ex:,thousands-sep,counter")</f>
        <v>ex:,thousands-sep,counter</v>
      </c>
      <c r="AG62" s="27"/>
      <c r="AH62" s="27"/>
      <c r="AI62" s="27"/>
    </row>
    <row r="63" hidden="1" outlineLevel="2">
      <c r="A63" s="27" t="s">
        <v>80</v>
      </c>
      <c r="B63" s="30" t="s">
        <v>248</v>
      </c>
      <c r="C63" s="27"/>
      <c r="D63" s="27"/>
      <c r="E63" s="27"/>
      <c r="F63" s="27" t="s">
        <v>249</v>
      </c>
      <c r="G63" s="27"/>
      <c r="H63" s="27"/>
      <c r="I63" s="27"/>
      <c r="J63" s="27"/>
      <c r="K63" s="27"/>
      <c r="L63" s="27"/>
      <c r="M63" s="27"/>
      <c r="O63" s="27"/>
      <c r="P63" s="27" t="s">
        <v>250</v>
      </c>
      <c r="X63" s="13" t="s">
        <v>45</v>
      </c>
      <c r="Y63" s="13" t="s">
        <v>45</v>
      </c>
      <c r="AA63" s="13" t="b">
        <v>0</v>
      </c>
      <c r="AB63" s="13" t="b">
        <v>0</v>
      </c>
      <c r="AC63" s="13" t="b">
        <v>0</v>
      </c>
      <c r="AE63" s="27"/>
      <c r="AF63" s="27" t="str">
        <f>IFERROR(__xludf.DUMMYFUNCTION("""COMPUTED_VALUE"""),"")</f>
        <v/>
      </c>
      <c r="AG63" s="27"/>
      <c r="AH63" s="27"/>
      <c r="AI63" s="27"/>
    </row>
    <row r="64" hidden="1" outlineLevel="2">
      <c r="A64" s="27" t="s">
        <v>150</v>
      </c>
      <c r="B64" s="30" t="s">
        <v>251</v>
      </c>
      <c r="C64" s="27" t="s">
        <v>252</v>
      </c>
      <c r="D64" s="27" t="s">
        <v>253</v>
      </c>
      <c r="E64" s="27"/>
      <c r="F64" s="27" t="s">
        <v>254</v>
      </c>
      <c r="G64" s="27"/>
      <c r="H64" s="27" t="s">
        <v>255</v>
      </c>
      <c r="I64" s="27"/>
      <c r="J64" s="27"/>
      <c r="K64" s="27"/>
      <c r="L64" s="27"/>
      <c r="M64" s="27"/>
      <c r="O64" s="27"/>
      <c r="P64" s="27" t="s">
        <v>250</v>
      </c>
      <c r="W64" s="13" t="s">
        <v>256</v>
      </c>
      <c r="X64" s="13" t="s">
        <v>45</v>
      </c>
      <c r="Y64" s="13" t="s">
        <v>256</v>
      </c>
      <c r="AA64" s="13" t="b">
        <v>0</v>
      </c>
      <c r="AB64" s="13" t="b">
        <v>0</v>
      </c>
      <c r="AC64" s="13" t="b">
        <v>0</v>
      </c>
      <c r="AE64" s="27"/>
      <c r="AF64" s="27" t="str">
        <f>IFERROR(__xludf.DUMMYFUNCTION("""COMPUTED_VALUE"""),"ex:,thousands-sep,counter")</f>
        <v>ex:,thousands-sep,counter</v>
      </c>
      <c r="AG64" s="27"/>
      <c r="AH64" s="27"/>
      <c r="AI64" s="27"/>
    </row>
    <row r="65" hidden="1" outlineLevel="2">
      <c r="A65" s="27" t="s">
        <v>150</v>
      </c>
      <c r="B65" s="30" t="s">
        <v>257</v>
      </c>
      <c r="C65" s="27" t="s">
        <v>258</v>
      </c>
      <c r="D65" s="27"/>
      <c r="E65" s="27"/>
      <c r="F65" s="27"/>
      <c r="G65" s="27"/>
      <c r="H65" s="27" t="s">
        <v>255</v>
      </c>
      <c r="I65" s="27"/>
      <c r="J65" s="27" t="s">
        <v>259</v>
      </c>
      <c r="K65" s="27"/>
      <c r="L65" s="27"/>
      <c r="M65" s="27"/>
      <c r="O65" s="27"/>
      <c r="P65" s="27"/>
      <c r="W65" s="13" t="s">
        <v>260</v>
      </c>
      <c r="X65" s="13" t="s">
        <v>45</v>
      </c>
      <c r="Y65" s="13" t="s">
        <v>260</v>
      </c>
      <c r="AA65" s="13" t="b">
        <v>0</v>
      </c>
      <c r="AB65" s="13" t="b">
        <v>0</v>
      </c>
      <c r="AC65" s="13" t="b">
        <v>0</v>
      </c>
      <c r="AE65" s="27"/>
      <c r="AF65" s="27" t="str">
        <f>IFERROR(__xludf.DUMMYFUNCTION("""COMPUTED_VALUE"""),"ex:,thousands-sep,counter")</f>
        <v>ex:,thousands-sep,counter</v>
      </c>
      <c r="AG65" s="27"/>
      <c r="AH65" s="27"/>
      <c r="AI65" s="27"/>
    </row>
    <row r="66" hidden="1" outlineLevel="2">
      <c r="A66" s="27" t="s">
        <v>80</v>
      </c>
      <c r="B66" s="30" t="s">
        <v>261</v>
      </c>
      <c r="C66" s="27"/>
      <c r="D66" s="27"/>
      <c r="E66" s="27"/>
      <c r="F66" s="27" t="s">
        <v>262</v>
      </c>
      <c r="G66" s="27"/>
      <c r="H66" s="27"/>
      <c r="I66" s="27"/>
      <c r="J66" s="27"/>
      <c r="K66" s="27"/>
      <c r="L66" s="27"/>
      <c r="M66" s="27"/>
      <c r="O66" s="27"/>
      <c r="P66" s="27"/>
      <c r="X66" s="13" t="s">
        <v>45</v>
      </c>
      <c r="Y66" s="13" t="s">
        <v>45</v>
      </c>
      <c r="AA66" s="13" t="b">
        <v>0</v>
      </c>
      <c r="AB66" s="13" t="b">
        <v>0</v>
      </c>
      <c r="AC66" s="13" t="b">
        <v>0</v>
      </c>
      <c r="AE66" s="27"/>
      <c r="AF66" s="27" t="str">
        <f>IFERROR(__xludf.DUMMYFUNCTION("""COMPUTED_VALUE"""),"")</f>
        <v/>
      </c>
      <c r="AG66" s="27"/>
      <c r="AH66" s="27"/>
      <c r="AI66" s="27"/>
    </row>
    <row r="67" hidden="1" outlineLevel="2">
      <c r="A67" s="27" t="s">
        <v>80</v>
      </c>
      <c r="B67" s="30" t="s">
        <v>263</v>
      </c>
      <c r="C67" s="27"/>
      <c r="D67" s="27"/>
      <c r="E67" s="27"/>
      <c r="F67" s="27" t="s">
        <v>264</v>
      </c>
      <c r="G67" s="27"/>
      <c r="H67" s="27"/>
      <c r="I67" s="27"/>
      <c r="J67" s="27"/>
      <c r="K67" s="27"/>
      <c r="L67" s="27"/>
      <c r="M67" s="27"/>
      <c r="O67" s="27"/>
      <c r="P67" s="27"/>
      <c r="X67" s="13" t="s">
        <v>45</v>
      </c>
      <c r="Y67" s="13" t="s">
        <v>45</v>
      </c>
      <c r="AA67" s="13" t="b">
        <v>0</v>
      </c>
      <c r="AB67" s="13" t="b">
        <v>0</v>
      </c>
      <c r="AC67" s="13" t="b">
        <v>0</v>
      </c>
      <c r="AE67" s="27"/>
      <c r="AF67" s="27" t="str">
        <f>IFERROR(__xludf.DUMMYFUNCTION("""COMPUTED_VALUE"""),"")</f>
        <v/>
      </c>
      <c r="AG67" s="27"/>
      <c r="AH67" s="27"/>
      <c r="AI67" s="27"/>
    </row>
    <row r="68" hidden="1" outlineLevel="2">
      <c r="A68" s="27" t="s">
        <v>80</v>
      </c>
      <c r="B68" s="30" t="s">
        <v>265</v>
      </c>
      <c r="C68" s="27"/>
      <c r="D68" s="27"/>
      <c r="E68" s="27"/>
      <c r="F68" s="27" t="s">
        <v>266</v>
      </c>
      <c r="G68" s="27"/>
      <c r="H68" s="27"/>
      <c r="I68" s="27"/>
      <c r="J68" s="27"/>
      <c r="K68" s="27"/>
      <c r="L68" s="27"/>
      <c r="M68" s="27"/>
      <c r="O68" s="27"/>
      <c r="P68" s="27"/>
      <c r="X68" s="13" t="s">
        <v>45</v>
      </c>
      <c r="Y68" s="13" t="s">
        <v>45</v>
      </c>
      <c r="AA68" s="13" t="b">
        <v>0</v>
      </c>
      <c r="AB68" s="13" t="b">
        <v>0</v>
      </c>
      <c r="AC68" s="13" t="b">
        <v>0</v>
      </c>
      <c r="AE68" s="27"/>
      <c r="AF68" s="27" t="str">
        <f>IFERROR(__xludf.DUMMYFUNCTION("""COMPUTED_VALUE"""),"")</f>
        <v/>
      </c>
      <c r="AG68" s="27"/>
      <c r="AH68" s="27"/>
      <c r="AI68" s="27"/>
    </row>
    <row r="69" hidden="1" outlineLevel="2">
      <c r="A69" s="27" t="s">
        <v>80</v>
      </c>
      <c r="B69" s="30" t="s">
        <v>267</v>
      </c>
      <c r="C69" s="27"/>
      <c r="D69" s="27"/>
      <c r="E69" s="27"/>
      <c r="F69" s="27" t="s">
        <v>268</v>
      </c>
      <c r="G69" s="27"/>
      <c r="H69" s="27"/>
      <c r="I69" s="27"/>
      <c r="J69" s="27"/>
      <c r="K69" s="27"/>
      <c r="L69" s="27"/>
      <c r="M69" s="27"/>
      <c r="O69" s="27"/>
      <c r="P69" s="27"/>
      <c r="X69" s="13" t="s">
        <v>45</v>
      </c>
      <c r="Y69" s="13" t="s">
        <v>45</v>
      </c>
      <c r="AA69" s="13" t="b">
        <v>0</v>
      </c>
      <c r="AB69" s="13" t="b">
        <v>0</v>
      </c>
      <c r="AC69" s="13" t="b">
        <v>0</v>
      </c>
      <c r="AE69" s="27"/>
      <c r="AF69" s="27" t="str">
        <f>IFERROR(__xludf.DUMMYFUNCTION("""COMPUTED_VALUE"""),"")</f>
        <v/>
      </c>
      <c r="AG69" s="27"/>
      <c r="AH69" s="27"/>
      <c r="AI69" s="27"/>
    </row>
    <row r="70" hidden="1" outlineLevel="2">
      <c r="A70" s="27" t="s">
        <v>80</v>
      </c>
      <c r="B70" s="30" t="s">
        <v>269</v>
      </c>
      <c r="C70" s="27"/>
      <c r="D70" s="27"/>
      <c r="E70" s="27"/>
      <c r="F70" s="27" t="s">
        <v>270</v>
      </c>
      <c r="G70" s="27"/>
      <c r="H70" s="27"/>
      <c r="I70" s="27"/>
      <c r="J70" s="27"/>
      <c r="K70" s="27"/>
      <c r="L70" s="27"/>
      <c r="M70" s="27"/>
      <c r="O70" s="27"/>
      <c r="P70" s="27"/>
      <c r="X70" s="13" t="s">
        <v>45</v>
      </c>
      <c r="Y70" s="13" t="s">
        <v>45</v>
      </c>
      <c r="AA70" s="13" t="b">
        <v>0</v>
      </c>
      <c r="AB70" s="13" t="b">
        <v>0</v>
      </c>
      <c r="AC70" s="13" t="b">
        <v>0</v>
      </c>
      <c r="AE70" s="27"/>
      <c r="AF70" s="27" t="str">
        <f>IFERROR(__xludf.DUMMYFUNCTION("""COMPUTED_VALUE"""),"")</f>
        <v/>
      </c>
      <c r="AG70" s="27"/>
      <c r="AH70" s="27"/>
      <c r="AI70" s="27"/>
    </row>
    <row r="71" hidden="1" outlineLevel="2">
      <c r="A71" s="27" t="s">
        <v>80</v>
      </c>
      <c r="B71" s="30" t="s">
        <v>271</v>
      </c>
      <c r="C71" s="27"/>
      <c r="D71" s="27"/>
      <c r="E71" s="27"/>
      <c r="F71" s="27" t="s">
        <v>272</v>
      </c>
      <c r="G71" s="27"/>
      <c r="H71" s="27"/>
      <c r="I71" s="27"/>
      <c r="J71" s="27"/>
      <c r="K71" s="27"/>
      <c r="L71" s="27"/>
      <c r="M71" s="27"/>
      <c r="O71" s="27"/>
      <c r="P71" s="27"/>
      <c r="X71" s="13" t="s">
        <v>45</v>
      </c>
      <c r="Y71" s="13" t="s">
        <v>45</v>
      </c>
      <c r="AA71" s="13" t="b">
        <v>0</v>
      </c>
      <c r="AB71" s="13" t="b">
        <v>0</v>
      </c>
      <c r="AC71" s="13" t="b">
        <v>0</v>
      </c>
      <c r="AE71" s="27"/>
      <c r="AF71" s="27" t="str">
        <f>IFERROR(__xludf.DUMMYFUNCTION("""COMPUTED_VALUE"""),"")</f>
        <v/>
      </c>
      <c r="AG71" s="27"/>
      <c r="AH71" s="27"/>
      <c r="AI71" s="27"/>
    </row>
    <row r="72" hidden="1" outlineLevel="2">
      <c r="A72" s="27" t="s">
        <v>76</v>
      </c>
      <c r="B72" s="30" t="s">
        <v>273</v>
      </c>
      <c r="C72" s="27" t="s">
        <v>274</v>
      </c>
      <c r="D72" s="27" t="s">
        <v>275</v>
      </c>
      <c r="E72" s="27"/>
      <c r="F72" s="27"/>
      <c r="G72" s="27"/>
      <c r="H72" s="27"/>
      <c r="I72" s="27"/>
      <c r="J72" s="27"/>
      <c r="K72" s="27"/>
      <c r="L72" s="27"/>
      <c r="M72" s="27"/>
      <c r="O72" s="27"/>
      <c r="P72" s="27"/>
      <c r="W72" s="13" t="s">
        <v>276</v>
      </c>
      <c r="X72" s="13" t="s">
        <v>45</v>
      </c>
      <c r="Y72" s="13" t="s">
        <v>276</v>
      </c>
      <c r="AA72" s="13" t="b">
        <v>0</v>
      </c>
      <c r="AB72" s="13" t="b">
        <v>0</v>
      </c>
      <c r="AC72" s="13" t="b">
        <v>0</v>
      </c>
      <c r="AE72" s="27"/>
      <c r="AF72" s="27" t="str">
        <f>IFERROR(__xludf.DUMMYFUNCTION("""COMPUTED_VALUE"""),"")</f>
        <v/>
      </c>
      <c r="AG72" s="27"/>
      <c r="AH72" s="27"/>
      <c r="AI72" s="27"/>
    </row>
    <row r="73" hidden="1" outlineLevel="2">
      <c r="A73" s="27" t="s">
        <v>76</v>
      </c>
      <c r="B73" s="30" t="s">
        <v>277</v>
      </c>
      <c r="C73" s="27" t="s">
        <v>278</v>
      </c>
      <c r="D73" s="27" t="s">
        <v>275</v>
      </c>
      <c r="E73" s="27"/>
      <c r="F73" s="27"/>
      <c r="G73" s="27"/>
      <c r="H73" s="27"/>
      <c r="I73" s="27"/>
      <c r="J73" s="27"/>
      <c r="K73" s="27"/>
      <c r="L73" s="27"/>
      <c r="M73" s="27"/>
      <c r="O73" s="27"/>
      <c r="P73" s="27"/>
      <c r="W73" s="13" t="s">
        <v>279</v>
      </c>
      <c r="X73" s="13" t="s">
        <v>45</v>
      </c>
      <c r="Y73" s="13" t="s">
        <v>279</v>
      </c>
      <c r="AA73" s="13" t="b">
        <v>0</v>
      </c>
      <c r="AB73" s="13" t="b">
        <v>0</v>
      </c>
      <c r="AC73" s="13" t="b">
        <v>0</v>
      </c>
      <c r="AE73" s="27"/>
      <c r="AF73" s="27" t="str">
        <f>IFERROR(__xludf.DUMMYFUNCTION("""COMPUTED_VALUE"""),"")</f>
        <v/>
      </c>
      <c r="AG73" s="27"/>
      <c r="AH73" s="27"/>
      <c r="AI73" s="27"/>
    </row>
    <row r="74" hidden="1" outlineLevel="2">
      <c r="A74" s="27" t="s">
        <v>76</v>
      </c>
      <c r="B74" s="30" t="s">
        <v>280</v>
      </c>
      <c r="C74" s="27" t="s">
        <v>281</v>
      </c>
      <c r="D74" s="27"/>
      <c r="E74" s="27"/>
      <c r="F74" s="27"/>
      <c r="G74" s="27"/>
      <c r="H74" s="27"/>
      <c r="I74" s="27"/>
      <c r="J74" s="27"/>
      <c r="K74" s="27"/>
      <c r="L74" s="27"/>
      <c r="M74" s="27"/>
      <c r="O74" s="27"/>
      <c r="P74" s="27"/>
      <c r="W74" s="13" t="s">
        <v>282</v>
      </c>
      <c r="X74" s="13" t="s">
        <v>45</v>
      </c>
      <c r="Y74" s="13" t="s">
        <v>282</v>
      </c>
      <c r="AA74" s="13" t="b">
        <v>0</v>
      </c>
      <c r="AB74" s="13" t="b">
        <v>0</v>
      </c>
      <c r="AC74" s="13" t="b">
        <v>0</v>
      </c>
      <c r="AE74" s="27"/>
      <c r="AF74" s="27" t="str">
        <f>IFERROR(__xludf.DUMMYFUNCTION("""COMPUTED_VALUE"""),"")</f>
        <v/>
      </c>
      <c r="AG74" s="27"/>
      <c r="AH74" s="27"/>
      <c r="AI74" s="27"/>
    </row>
    <row r="75" hidden="1" outlineLevel="1">
      <c r="A75" s="27" t="s">
        <v>283</v>
      </c>
      <c r="B75" s="30"/>
      <c r="C75" s="27"/>
      <c r="D75" s="27"/>
      <c r="E75" s="27"/>
      <c r="F75" s="27"/>
      <c r="G75" s="27"/>
      <c r="H75" s="27"/>
      <c r="I75" s="27"/>
      <c r="J75" s="27"/>
      <c r="K75" s="27"/>
      <c r="L75" s="27"/>
      <c r="M75" s="27"/>
      <c r="N75" s="13"/>
      <c r="O75" s="27"/>
      <c r="P75" s="27"/>
      <c r="Q75" s="13"/>
      <c r="R75" s="13"/>
      <c r="S75" s="13"/>
      <c r="T75" s="13"/>
      <c r="U75" s="13"/>
      <c r="V75" s="13"/>
      <c r="W75" s="13"/>
      <c r="X75" s="13" t="s">
        <v>45</v>
      </c>
      <c r="Y75" s="13" t="s">
        <v>45</v>
      </c>
      <c r="Z75" s="13"/>
      <c r="AA75" s="13" t="b">
        <v>0</v>
      </c>
      <c r="AB75" s="13" t="b">
        <v>0</v>
      </c>
      <c r="AC75" s="13" t="b">
        <v>0</v>
      </c>
      <c r="AD75" s="13"/>
      <c r="AE75" s="27"/>
      <c r="AF75" s="27" t="str">
        <f>IFERROR(__xludf.DUMMYFUNCTION("""COMPUTED_VALUE"""),"")</f>
        <v/>
      </c>
      <c r="AG75" s="27"/>
      <c r="AH75" s="27"/>
      <c r="AI75" s="27"/>
    </row>
    <row r="76" hidden="1" outlineLevel="1">
      <c r="A76" s="27"/>
      <c r="B76" s="30"/>
      <c r="C76" s="27"/>
      <c r="D76" s="27"/>
      <c r="E76" s="27"/>
      <c r="F76" s="27"/>
      <c r="G76" s="27"/>
      <c r="H76" s="27"/>
      <c r="I76" s="27"/>
      <c r="J76" s="27"/>
      <c r="K76" s="27"/>
      <c r="L76" s="27"/>
      <c r="M76" s="27"/>
      <c r="O76" s="27"/>
      <c r="P76" s="27"/>
      <c r="X76" s="13" t="s">
        <v>45</v>
      </c>
      <c r="Y76" s="13" t="s">
        <v>45</v>
      </c>
      <c r="AA76" s="13" t="b">
        <v>0</v>
      </c>
      <c r="AB76" s="13" t="b">
        <v>0</v>
      </c>
      <c r="AC76" s="13" t="b">
        <v>0</v>
      </c>
      <c r="AE76" s="27"/>
      <c r="AF76" s="27" t="str">
        <f>IFERROR(__xludf.DUMMYFUNCTION("""COMPUTED_VALUE"""),"")</f>
        <v/>
      </c>
      <c r="AG76" s="27"/>
      <c r="AH76" s="27"/>
      <c r="AI76" s="27"/>
    </row>
    <row r="77" hidden="1" outlineLevel="1">
      <c r="A77" s="27"/>
      <c r="B77" s="30"/>
      <c r="C77" s="27"/>
      <c r="D77" s="27"/>
      <c r="E77" s="27"/>
      <c r="F77" s="27"/>
      <c r="G77" s="27"/>
      <c r="H77" s="27"/>
      <c r="I77" s="27"/>
      <c r="J77" s="27"/>
      <c r="K77" s="27"/>
      <c r="L77" s="27"/>
      <c r="M77" s="27"/>
      <c r="O77" s="27"/>
      <c r="P77" s="27"/>
      <c r="X77" s="13" t="s">
        <v>45</v>
      </c>
      <c r="Y77" s="13" t="s">
        <v>45</v>
      </c>
      <c r="AA77" s="13" t="b">
        <v>0</v>
      </c>
      <c r="AB77" s="13" t="b">
        <v>0</v>
      </c>
      <c r="AC77" s="13" t="b">
        <v>0</v>
      </c>
      <c r="AE77" s="27"/>
      <c r="AF77" s="27" t="str">
        <f>IFERROR(__xludf.DUMMYFUNCTION("""COMPUTED_VALUE"""),"")</f>
        <v/>
      </c>
      <c r="AG77" s="27"/>
      <c r="AH77" s="27"/>
      <c r="AI77" s="27"/>
    </row>
    <row r="78" hidden="1" outlineLevel="1">
      <c r="A78" s="27"/>
      <c r="B78" s="30"/>
      <c r="C78" s="27"/>
      <c r="D78" s="27"/>
      <c r="E78" s="27"/>
      <c r="F78" s="27"/>
      <c r="G78" s="27"/>
      <c r="H78" s="27"/>
      <c r="I78" s="27"/>
      <c r="J78" s="27"/>
      <c r="K78" s="27"/>
      <c r="L78" s="27"/>
      <c r="M78" s="27"/>
      <c r="O78" s="27"/>
      <c r="P78" s="27"/>
      <c r="X78" s="13" t="s">
        <v>45</v>
      </c>
      <c r="Y78" s="13" t="s">
        <v>45</v>
      </c>
      <c r="AA78" s="13" t="b">
        <v>0</v>
      </c>
      <c r="AB78" s="13" t="b">
        <v>0</v>
      </c>
      <c r="AC78" s="13" t="b">
        <v>0</v>
      </c>
      <c r="AE78" s="27"/>
      <c r="AF78" s="27" t="str">
        <f>IFERROR(__xludf.DUMMYFUNCTION("""COMPUTED_VALUE"""),"")</f>
        <v/>
      </c>
      <c r="AG78" s="27"/>
      <c r="AH78" s="27"/>
      <c r="AI78" s="27"/>
    </row>
    <row r="79" hidden="1" outlineLevel="1">
      <c r="A79" s="27"/>
      <c r="B79" s="30"/>
      <c r="C79" s="27"/>
      <c r="D79" s="27"/>
      <c r="E79" s="27"/>
      <c r="F79" s="27"/>
      <c r="G79" s="27"/>
      <c r="H79" s="27"/>
      <c r="I79" s="27"/>
      <c r="J79" s="27"/>
      <c r="K79" s="27"/>
      <c r="L79" s="27"/>
      <c r="M79" s="27"/>
      <c r="O79" s="27"/>
      <c r="P79" s="27"/>
      <c r="X79" s="13" t="s">
        <v>45</v>
      </c>
      <c r="Y79" s="13" t="s">
        <v>45</v>
      </c>
      <c r="AA79" s="13" t="b">
        <v>0</v>
      </c>
      <c r="AB79" s="13" t="b">
        <v>0</v>
      </c>
      <c r="AC79" s="13" t="b">
        <v>0</v>
      </c>
      <c r="AE79" s="27"/>
      <c r="AF79" s="27" t="str">
        <f>IFERROR(__xludf.DUMMYFUNCTION("""COMPUTED_VALUE"""),"")</f>
        <v/>
      </c>
      <c r="AG79" s="27"/>
      <c r="AH79" s="27"/>
      <c r="AI79" s="27"/>
    </row>
    <row r="80" hidden="1" outlineLevel="1">
      <c r="A80" s="27"/>
      <c r="B80" s="30"/>
      <c r="C80" s="27"/>
      <c r="D80" s="27"/>
      <c r="E80" s="27"/>
      <c r="F80" s="27"/>
      <c r="G80" s="27"/>
      <c r="H80" s="27"/>
      <c r="I80" s="27"/>
      <c r="J80" s="27"/>
      <c r="K80" s="27"/>
      <c r="L80" s="27"/>
      <c r="M80" s="27"/>
      <c r="O80" s="27"/>
      <c r="P80" s="27"/>
      <c r="X80" s="13" t="s">
        <v>45</v>
      </c>
      <c r="Y80" s="13" t="s">
        <v>45</v>
      </c>
      <c r="AA80" s="13" t="b">
        <v>0</v>
      </c>
      <c r="AB80" s="13" t="b">
        <v>0</v>
      </c>
      <c r="AC80" s="13" t="b">
        <v>0</v>
      </c>
      <c r="AE80" s="27"/>
      <c r="AF80" s="27" t="str">
        <f>IFERROR(__xludf.DUMMYFUNCTION("""COMPUTED_VALUE"""),"")</f>
        <v/>
      </c>
      <c r="AG80" s="27"/>
      <c r="AH80" s="27"/>
      <c r="AI80" s="27"/>
    </row>
    <row r="81" hidden="1" outlineLevel="1" collapsed="1">
      <c r="A81" s="27" t="s">
        <v>113</v>
      </c>
      <c r="B81" s="30" t="s">
        <v>284</v>
      </c>
      <c r="C81" s="27"/>
      <c r="D81" s="27" t="s">
        <v>285</v>
      </c>
      <c r="E81" s="27" t="s">
        <v>116</v>
      </c>
      <c r="F81" s="27"/>
      <c r="G81" s="27"/>
      <c r="H81" s="27"/>
      <c r="I81" s="27"/>
      <c r="J81" s="27"/>
      <c r="K81" s="27"/>
      <c r="L81" s="27"/>
      <c r="M81" s="27"/>
      <c r="N81" s="13"/>
      <c r="O81" s="27"/>
      <c r="P81" s="27"/>
      <c r="Q81" s="13"/>
      <c r="R81" s="13"/>
      <c r="S81" s="13"/>
      <c r="T81" s="13"/>
      <c r="U81" s="13"/>
      <c r="V81" s="13"/>
      <c r="W81" s="13"/>
      <c r="X81" s="13" t="s">
        <v>45</v>
      </c>
      <c r="Y81" s="13" t="s">
        <v>45</v>
      </c>
      <c r="Z81" s="13"/>
      <c r="AA81" s="13" t="b">
        <v>0</v>
      </c>
      <c r="AB81" s="13" t="b">
        <v>0</v>
      </c>
      <c r="AC81" s="13" t="b">
        <v>0</v>
      </c>
      <c r="AD81" s="13"/>
      <c r="AE81" s="27"/>
      <c r="AF81" s="27" t="str">
        <f>IFERROR(__xludf.DUMMYFUNCTION("""COMPUTED_VALUE"""),"")</f>
        <v/>
      </c>
      <c r="AG81" s="27"/>
      <c r="AH81" s="27"/>
      <c r="AI81" s="27"/>
    </row>
    <row r="82" hidden="1" outlineLevel="2">
      <c r="A82" s="27" t="s">
        <v>286</v>
      </c>
      <c r="B82" s="30" t="s">
        <v>287</v>
      </c>
      <c r="C82" s="27" t="s">
        <v>288</v>
      </c>
      <c r="D82" s="27" t="s">
        <v>275</v>
      </c>
      <c r="E82" s="27"/>
      <c r="F82" s="27"/>
      <c r="G82" s="27" t="s">
        <v>107</v>
      </c>
      <c r="H82" s="27"/>
      <c r="I82" s="27"/>
      <c r="J82" s="27"/>
      <c r="K82" s="27"/>
      <c r="L82" s="27"/>
      <c r="M82" s="27"/>
      <c r="O82" s="27"/>
      <c r="P82" s="27"/>
      <c r="W82" s="13" t="s">
        <v>289</v>
      </c>
      <c r="X82" s="13" t="s">
        <v>290</v>
      </c>
      <c r="Y82" s="13" t="s">
        <v>289</v>
      </c>
      <c r="Z82" s="13" t="s">
        <v>291</v>
      </c>
      <c r="AA82" s="13" t="b">
        <v>0</v>
      </c>
      <c r="AB82" s="13" t="b">
        <v>0</v>
      </c>
      <c r="AC82" s="13" t="b">
        <v>0</v>
      </c>
      <c r="AE82" s="27"/>
      <c r="AF82" s="27" t="str">
        <f>IFERROR(__xludf.DUMMYFUNCTION("""COMPUTED_VALUE"""),"quick,likert,map,minimal,search,columns-pack,columns,columns-n,no-buttons,image-map,label,list-nolabel,list")</f>
        <v>quick,likert,map,minimal,search,columns-pack,columns,columns-n,no-buttons,image-map,label,list-nolabel,list</v>
      </c>
      <c r="AG82" s="27"/>
      <c r="AH82" s="27"/>
      <c r="AI82" s="27"/>
    </row>
    <row r="83" hidden="1" outlineLevel="2">
      <c r="A83" s="27" t="s">
        <v>292</v>
      </c>
      <c r="B83" s="30" t="s">
        <v>293</v>
      </c>
      <c r="C83" s="27" t="s">
        <v>294</v>
      </c>
      <c r="D83" s="27" t="s">
        <v>275</v>
      </c>
      <c r="E83" s="27"/>
      <c r="F83" s="27"/>
      <c r="G83" s="27" t="s">
        <v>107</v>
      </c>
      <c r="H83" s="27"/>
      <c r="I83" s="27"/>
      <c r="J83" s="27"/>
      <c r="K83" s="27"/>
      <c r="L83" s="27"/>
      <c r="M83" s="27"/>
      <c r="O83" s="27"/>
      <c r="P83" s="27"/>
      <c r="W83" s="13" t="s">
        <v>295</v>
      </c>
      <c r="X83" s="13" t="s">
        <v>45</v>
      </c>
      <c r="Y83" s="13" t="s">
        <v>295</v>
      </c>
      <c r="AA83" s="13" t="b">
        <v>0</v>
      </c>
      <c r="AB83" s="13" t="b">
        <v>0</v>
      </c>
      <c r="AC83" s="13" t="b">
        <v>0</v>
      </c>
      <c r="AE83" s="27"/>
      <c r="AF83" s="27" t="str">
        <f>IFERROR(__xludf.DUMMYFUNCTION("""COMPUTED_VALUE"""),"quick,likert,map,minimal,search,columns-pack,columns,columns-n,no-buttons,image-map,label,list-nolabel,list")</f>
        <v>quick,likert,map,minimal,search,columns-pack,columns,columns-n,no-buttons,image-map,label,list-nolabel,list</v>
      </c>
      <c r="AG83" s="27"/>
      <c r="AH83" s="27"/>
      <c r="AI83" s="27"/>
    </row>
    <row r="84" hidden="1" outlineLevel="2">
      <c r="A84" s="27" t="s">
        <v>296</v>
      </c>
      <c r="B84" s="30" t="s">
        <v>297</v>
      </c>
      <c r="C84" s="27" t="s">
        <v>298</v>
      </c>
      <c r="D84" s="27" t="s">
        <v>275</v>
      </c>
      <c r="E84" s="27"/>
      <c r="F84" s="27"/>
      <c r="G84" s="27" t="s">
        <v>107</v>
      </c>
      <c r="H84" s="27"/>
      <c r="I84" s="27"/>
      <c r="J84" s="27"/>
      <c r="K84" s="27"/>
      <c r="L84" s="27"/>
      <c r="M84" s="27"/>
      <c r="O84" s="27"/>
      <c r="P84" s="27"/>
      <c r="W84" s="13" t="s">
        <v>299</v>
      </c>
      <c r="X84" s="13" t="s">
        <v>300</v>
      </c>
      <c r="Y84" s="13" t="s">
        <v>299</v>
      </c>
      <c r="Z84" s="13" t="s">
        <v>301</v>
      </c>
      <c r="AA84" s="13" t="b">
        <v>0</v>
      </c>
      <c r="AB84" s="13" t="b">
        <v>0</v>
      </c>
      <c r="AC84" s="13" t="b">
        <v>0</v>
      </c>
      <c r="AE84" s="27"/>
      <c r="AF84" s="27" t="str">
        <f>IFERROR(__xludf.DUMMYFUNCTION("""COMPUTED_VALUE"""),"quick,likert,map,minimal,search,columns-pack,columns,columns-n,no-buttons,image-map,label,list-nolabel,list")</f>
        <v>quick,likert,map,minimal,search,columns-pack,columns,columns-n,no-buttons,image-map,label,list-nolabel,list</v>
      </c>
      <c r="AG84" s="27"/>
      <c r="AH84" s="27"/>
      <c r="AI84" s="27"/>
    </row>
    <row r="85" hidden="1" outlineLevel="2">
      <c r="A85" s="27" t="s">
        <v>80</v>
      </c>
      <c r="B85" s="30" t="s">
        <v>302</v>
      </c>
      <c r="C85" s="27"/>
      <c r="D85" s="27"/>
      <c r="E85" s="27"/>
      <c r="F85" s="27" t="s">
        <v>303</v>
      </c>
      <c r="G85" s="27"/>
      <c r="H85" s="27"/>
      <c r="I85" s="27"/>
      <c r="J85" s="27"/>
      <c r="K85" s="27"/>
      <c r="L85" s="27"/>
      <c r="M85" s="27"/>
      <c r="N85" s="13" t="s">
        <v>107</v>
      </c>
      <c r="O85" s="27"/>
      <c r="P85" s="27"/>
      <c r="X85" s="13" t="s">
        <v>45</v>
      </c>
      <c r="Y85" s="13" t="s">
        <v>45</v>
      </c>
      <c r="AA85" s="13" t="b">
        <v>0</v>
      </c>
      <c r="AB85" s="13" t="b">
        <v>0</v>
      </c>
      <c r="AC85" s="13" t="b">
        <v>0</v>
      </c>
      <c r="AE85" s="27"/>
      <c r="AF85" s="27" t="str">
        <f>IFERROR(__xludf.DUMMYFUNCTION("""COMPUTED_VALUE"""),"")</f>
        <v/>
      </c>
      <c r="AG85" s="27"/>
      <c r="AH85" s="27"/>
      <c r="AI85" s="27"/>
    </row>
    <row r="86" hidden="1" outlineLevel="1">
      <c r="A86" s="27" t="s">
        <v>283</v>
      </c>
      <c r="B86" s="30"/>
      <c r="C86" s="27"/>
      <c r="D86" s="27"/>
      <c r="E86" s="27"/>
      <c r="F86" s="27"/>
      <c r="G86" s="27"/>
      <c r="H86" s="27"/>
      <c r="I86" s="27"/>
      <c r="J86" s="27"/>
      <c r="K86" s="27"/>
      <c r="L86" s="27"/>
      <c r="M86" s="27"/>
      <c r="N86" s="13"/>
      <c r="O86" s="27"/>
      <c r="P86" s="27"/>
      <c r="Q86" s="13"/>
      <c r="R86" s="13"/>
      <c r="S86" s="13"/>
      <c r="T86" s="13"/>
      <c r="U86" s="13"/>
      <c r="V86" s="13"/>
      <c r="W86" s="13"/>
      <c r="X86" s="13" t="s">
        <v>45</v>
      </c>
      <c r="Y86" s="13" t="s">
        <v>45</v>
      </c>
      <c r="Z86" s="13"/>
      <c r="AA86" s="13" t="b">
        <v>0</v>
      </c>
      <c r="AB86" s="13" t="b">
        <v>0</v>
      </c>
      <c r="AC86" s="13" t="b">
        <v>0</v>
      </c>
      <c r="AD86" s="13"/>
      <c r="AE86" s="27"/>
      <c r="AF86" s="27" t="str">
        <f>IFERROR(__xludf.DUMMYFUNCTION("""COMPUTED_VALUE"""),"")</f>
        <v/>
      </c>
      <c r="AG86" s="27"/>
      <c r="AH86" s="27"/>
      <c r="AI86" s="27"/>
    </row>
    <row r="87" hidden="1" outlineLevel="1">
      <c r="A87" s="27"/>
      <c r="B87" s="30"/>
      <c r="C87" s="27"/>
      <c r="D87" s="27"/>
      <c r="E87" s="27"/>
      <c r="F87" s="27"/>
      <c r="G87" s="27"/>
      <c r="H87" s="27"/>
      <c r="I87" s="27"/>
      <c r="J87" s="27"/>
      <c r="K87" s="27"/>
      <c r="L87" s="27"/>
      <c r="M87" s="27"/>
      <c r="O87" s="27"/>
      <c r="P87" s="27"/>
      <c r="X87" s="13" t="s">
        <v>45</v>
      </c>
      <c r="AA87" s="13" t="b">
        <v>0</v>
      </c>
      <c r="AB87" s="13" t="b">
        <v>0</v>
      </c>
      <c r="AC87" s="13" t="b">
        <v>0</v>
      </c>
      <c r="AE87" s="27"/>
      <c r="AF87" s="27" t="str">
        <f>IFERROR(__xludf.DUMMYFUNCTION("""COMPUTED_VALUE"""),"")</f>
        <v/>
      </c>
      <c r="AG87" s="27"/>
      <c r="AH87" s="27"/>
      <c r="AI87" s="27"/>
    </row>
    <row r="88" hidden="1" outlineLevel="1">
      <c r="A88" s="27" t="s">
        <v>231</v>
      </c>
      <c r="B88" s="30" t="s">
        <v>304</v>
      </c>
      <c r="C88" s="27" t="s">
        <v>305</v>
      </c>
      <c r="D88" s="27" t="s">
        <v>306</v>
      </c>
      <c r="E88" s="27"/>
      <c r="F88" s="27"/>
      <c r="G88" s="27" t="s">
        <v>307</v>
      </c>
      <c r="H88" s="27"/>
      <c r="I88" s="27"/>
      <c r="J88" s="27"/>
      <c r="K88" s="27"/>
      <c r="L88" s="27" t="s">
        <v>308</v>
      </c>
      <c r="M88" s="27"/>
      <c r="O88" s="27"/>
      <c r="P88" s="27"/>
      <c r="U88" s="13" t="s">
        <v>309</v>
      </c>
      <c r="V88" s="13" t="s">
        <v>310</v>
      </c>
      <c r="W88" s="13" t="s">
        <v>311</v>
      </c>
      <c r="X88" s="13" t="s">
        <v>312</v>
      </c>
      <c r="Z88" s="13" t="s">
        <v>313</v>
      </c>
      <c r="AA88" s="13" t="b">
        <v>0</v>
      </c>
      <c r="AB88" s="13" t="b">
        <v>0</v>
      </c>
      <c r="AC88" s="13" t="b">
        <v>0</v>
      </c>
      <c r="AE88" s="27"/>
      <c r="AF88" s="27" t="str">
        <f>IFERROR(__xludf.DUMMYFUNCTION("""COMPUTED_VALUE"""),"")</f>
        <v/>
      </c>
      <c r="AG88" s="27"/>
      <c r="AH88" s="27"/>
      <c r="AI88" s="27"/>
    </row>
    <row r="89" hidden="1" outlineLevel="1">
      <c r="A89" s="27" t="s">
        <v>314</v>
      </c>
      <c r="B89" s="30" t="s">
        <v>315</v>
      </c>
      <c r="C89" s="27" t="s">
        <v>316</v>
      </c>
      <c r="D89" s="27" t="s">
        <v>317</v>
      </c>
      <c r="E89" s="27"/>
      <c r="F89" s="27"/>
      <c r="G89" s="27" t="s">
        <v>107</v>
      </c>
      <c r="H89" s="27"/>
      <c r="I89" s="27"/>
      <c r="J89" s="27"/>
      <c r="K89" s="27"/>
      <c r="L89" s="27"/>
      <c r="M89" s="27"/>
      <c r="O89" s="27"/>
      <c r="P89" s="27"/>
      <c r="V89" s="13" t="s">
        <v>318</v>
      </c>
      <c r="W89" s="13" t="s">
        <v>319</v>
      </c>
      <c r="X89" s="13" t="s">
        <v>320</v>
      </c>
      <c r="Y89" s="13" t="s">
        <v>319</v>
      </c>
      <c r="Z89" s="13" t="s">
        <v>321</v>
      </c>
      <c r="AA89" s="13" t="b">
        <v>0</v>
      </c>
      <c r="AB89" s="13" t="b">
        <v>0</v>
      </c>
      <c r="AC89" s="13" t="b">
        <v>0</v>
      </c>
      <c r="AE89" s="27"/>
      <c r="AF89" s="27" t="str">
        <f>IFERROR(__xludf.DUMMYFUNCTION("""COMPUTED_VALUE"""),"quick,likert,map,minimal,search,columns-pack,columns,columns-n,no-buttons,image-map,label,list-nolabel,list")</f>
        <v>quick,likert,map,minimal,search,columns-pack,columns,columns-n,no-buttons,image-map,label,list-nolabel,list</v>
      </c>
      <c r="AG89" s="27"/>
      <c r="AH89" s="27"/>
      <c r="AI89" s="27"/>
    </row>
    <row r="90" hidden="1" outlineLevel="1">
      <c r="A90" s="27" t="s">
        <v>80</v>
      </c>
      <c r="B90" s="30" t="s">
        <v>322</v>
      </c>
      <c r="C90" s="27"/>
      <c r="D90" s="27" t="s">
        <v>317</v>
      </c>
      <c r="E90" s="27"/>
      <c r="F90" s="27" t="s">
        <v>323</v>
      </c>
      <c r="G90" s="27"/>
      <c r="H90" s="27"/>
      <c r="I90" s="27"/>
      <c r="J90" s="27"/>
      <c r="K90" s="27"/>
      <c r="L90" s="27"/>
      <c r="M90" s="27"/>
      <c r="O90" s="27"/>
      <c r="P90" s="27"/>
      <c r="X90" s="13" t="s">
        <v>45</v>
      </c>
      <c r="Y90" s="13" t="s">
        <v>45</v>
      </c>
      <c r="AA90" s="13" t="b">
        <v>0</v>
      </c>
      <c r="AB90" s="13" t="b">
        <v>0</v>
      </c>
      <c r="AC90" s="13" t="b">
        <v>0</v>
      </c>
      <c r="AE90" s="27"/>
      <c r="AF90" s="27" t="str">
        <f>IFERROR(__xludf.DUMMYFUNCTION("""COMPUTED_VALUE"""),"")</f>
        <v/>
      </c>
      <c r="AG90" s="27"/>
      <c r="AH90" s="27"/>
      <c r="AI90" s="27"/>
    </row>
    <row r="91" hidden="1" outlineLevel="1">
      <c r="A91" s="27" t="s">
        <v>324</v>
      </c>
      <c r="B91" s="30" t="s">
        <v>325</v>
      </c>
      <c r="C91" s="27" t="s">
        <v>326</v>
      </c>
      <c r="D91" s="27" t="s">
        <v>327</v>
      </c>
      <c r="E91" s="27"/>
      <c r="F91" s="27" t="s">
        <v>328</v>
      </c>
      <c r="G91" s="27" t="s">
        <v>107</v>
      </c>
      <c r="H91" s="27"/>
      <c r="I91" s="27"/>
      <c r="J91" s="27" t="s">
        <v>176</v>
      </c>
      <c r="K91" s="27"/>
      <c r="L91" s="27"/>
      <c r="M91" s="27"/>
      <c r="O91" s="27"/>
      <c r="P91" s="27" t="s">
        <v>329</v>
      </c>
      <c r="V91" s="13" t="s">
        <v>330</v>
      </c>
      <c r="W91" s="13" t="s">
        <v>331</v>
      </c>
      <c r="X91" s="13" t="s">
        <v>332</v>
      </c>
      <c r="Y91" s="13" t="s">
        <v>331</v>
      </c>
      <c r="Z91" s="13" t="s">
        <v>333</v>
      </c>
      <c r="AA91" s="13" t="b">
        <v>0</v>
      </c>
      <c r="AB91" s="13" t="b">
        <v>0</v>
      </c>
      <c r="AC91" s="13" t="b">
        <v>0</v>
      </c>
      <c r="AE91" s="27"/>
      <c r="AF91" s="27" t="str">
        <f>IFERROR(__xludf.DUMMYFUNCTION("""COMPUTED_VALUE"""),"quick,likert,map,minimal,search,columns-pack,columns,columns-n,no-buttons,image-map,label,list-nolabel,list")</f>
        <v>quick,likert,map,minimal,search,columns-pack,columns,columns-n,no-buttons,image-map,label,list-nolabel,list</v>
      </c>
      <c r="AG91" s="27"/>
      <c r="AH91" s="27"/>
      <c r="AI91" s="27"/>
    </row>
    <row r="92" hidden="1" outlineLevel="1">
      <c r="A92" s="27"/>
      <c r="B92" s="30"/>
      <c r="C92" s="27"/>
      <c r="D92" s="27"/>
      <c r="E92" s="27"/>
      <c r="F92" s="27"/>
      <c r="G92" s="27"/>
      <c r="H92" s="27"/>
      <c r="I92" s="27"/>
      <c r="J92" s="27"/>
      <c r="K92" s="27"/>
      <c r="L92" s="27"/>
      <c r="M92" s="27"/>
      <c r="O92" s="27"/>
      <c r="P92" s="27"/>
      <c r="X92" s="13" t="s">
        <v>45</v>
      </c>
      <c r="AA92" s="13" t="b">
        <v>0</v>
      </c>
      <c r="AB92" s="13" t="b">
        <v>0</v>
      </c>
      <c r="AC92" s="13" t="b">
        <v>0</v>
      </c>
      <c r="AE92" s="27"/>
      <c r="AF92" s="27" t="str">
        <f>IFERROR(__xludf.DUMMYFUNCTION("""COMPUTED_VALUE"""),"")</f>
        <v/>
      </c>
      <c r="AG92" s="27"/>
      <c r="AH92" s="27"/>
      <c r="AI92" s="27"/>
    </row>
    <row r="93" hidden="1" outlineLevel="1">
      <c r="A93" s="27"/>
      <c r="B93" s="30"/>
      <c r="C93" s="27"/>
      <c r="D93" s="27"/>
      <c r="E93" s="27"/>
      <c r="F93" s="27"/>
      <c r="G93" s="27"/>
      <c r="H93" s="27"/>
      <c r="I93" s="27"/>
      <c r="J93" s="27"/>
      <c r="K93" s="27"/>
      <c r="L93" s="27"/>
      <c r="M93" s="27"/>
      <c r="O93" s="27"/>
      <c r="P93" s="27"/>
      <c r="X93" s="13" t="s">
        <v>45</v>
      </c>
      <c r="AA93" s="13" t="b">
        <v>0</v>
      </c>
      <c r="AB93" s="13" t="b">
        <v>0</v>
      </c>
      <c r="AC93" s="13" t="b">
        <v>0</v>
      </c>
      <c r="AE93" s="27"/>
      <c r="AF93" s="27" t="str">
        <f>IFERROR(__xludf.DUMMYFUNCTION("""COMPUTED_VALUE"""),"")</f>
        <v/>
      </c>
      <c r="AG93" s="27"/>
      <c r="AH93" s="27"/>
      <c r="AI93" s="27"/>
    </row>
    <row r="94" hidden="1" outlineLevel="1">
      <c r="A94" s="27"/>
      <c r="B94" s="30"/>
      <c r="C94" s="27"/>
      <c r="D94" s="27"/>
      <c r="E94" s="27"/>
      <c r="F94" s="27"/>
      <c r="G94" s="27"/>
      <c r="H94" s="27"/>
      <c r="I94" s="27"/>
      <c r="J94" s="27"/>
      <c r="K94" s="27"/>
      <c r="L94" s="27"/>
      <c r="M94" s="27"/>
      <c r="O94" s="27"/>
      <c r="P94" s="27"/>
      <c r="X94" s="13" t="s">
        <v>45</v>
      </c>
      <c r="AA94" s="13" t="b">
        <v>0</v>
      </c>
      <c r="AB94" s="13" t="b">
        <v>0</v>
      </c>
      <c r="AC94" s="13" t="b">
        <v>0</v>
      </c>
      <c r="AE94" s="27"/>
      <c r="AF94" s="27" t="str">
        <f>IFERROR(__xludf.DUMMYFUNCTION("""COMPUTED_VALUE"""),"")</f>
        <v/>
      </c>
      <c r="AG94" s="27"/>
      <c r="AH94" s="27"/>
      <c r="AI94" s="27"/>
    </row>
    <row r="95" hidden="1" outlineLevel="1">
      <c r="A95" s="27"/>
      <c r="B95" s="30"/>
      <c r="C95" s="27"/>
      <c r="D95" s="27"/>
      <c r="E95" s="27"/>
      <c r="F95" s="27"/>
      <c r="G95" s="27"/>
      <c r="H95" s="27"/>
      <c r="I95" s="27"/>
      <c r="J95" s="27"/>
      <c r="K95" s="27"/>
      <c r="L95" s="27"/>
      <c r="M95" s="27"/>
      <c r="O95" s="27"/>
      <c r="P95" s="27"/>
      <c r="X95" s="13" t="s">
        <v>45</v>
      </c>
      <c r="AA95" s="13" t="b">
        <v>0</v>
      </c>
      <c r="AB95" s="13" t="b">
        <v>0</v>
      </c>
      <c r="AC95" s="13" t="b">
        <v>0</v>
      </c>
      <c r="AE95" s="27"/>
      <c r="AF95" s="27" t="str">
        <f>IFERROR(__xludf.DUMMYFUNCTION("""COMPUTED_VALUE"""),"")</f>
        <v/>
      </c>
      <c r="AG95" s="27"/>
      <c r="AH95" s="27"/>
      <c r="AI95" s="27"/>
    </row>
    <row r="96" hidden="1" outlineLevel="1">
      <c r="A96" s="27"/>
      <c r="B96" s="30"/>
      <c r="C96" s="27"/>
      <c r="D96" s="27"/>
      <c r="E96" s="27"/>
      <c r="F96" s="27"/>
      <c r="G96" s="27"/>
      <c r="H96" s="27"/>
      <c r="I96" s="27"/>
      <c r="J96" s="27"/>
      <c r="K96" s="27"/>
      <c r="L96" s="27"/>
      <c r="M96" s="27"/>
      <c r="O96" s="27"/>
      <c r="P96" s="27"/>
      <c r="X96" s="13" t="s">
        <v>45</v>
      </c>
      <c r="AA96" s="13" t="b">
        <v>0</v>
      </c>
      <c r="AB96" s="13" t="b">
        <v>0</v>
      </c>
      <c r="AC96" s="13" t="b">
        <v>0</v>
      </c>
      <c r="AE96" s="27"/>
      <c r="AF96" s="27" t="str">
        <f>IFERROR(__xludf.DUMMYFUNCTION("""COMPUTED_VALUE"""),"")</f>
        <v/>
      </c>
      <c r="AG96" s="27"/>
      <c r="AH96" s="27"/>
      <c r="AI96" s="27"/>
    </row>
    <row r="97">
      <c r="A97" s="27" t="s">
        <v>283</v>
      </c>
      <c r="B97" s="30"/>
      <c r="C97" s="27"/>
      <c r="D97" s="27"/>
      <c r="E97" s="27"/>
      <c r="F97" s="27"/>
      <c r="G97" s="27"/>
      <c r="H97" s="27"/>
      <c r="I97" s="27"/>
      <c r="J97" s="27"/>
      <c r="K97" s="27"/>
      <c r="L97" s="27"/>
      <c r="M97" s="27"/>
      <c r="N97" s="13"/>
      <c r="O97" s="27"/>
      <c r="P97" s="27"/>
      <c r="Q97" s="13"/>
      <c r="R97" s="13"/>
      <c r="S97" s="13"/>
      <c r="T97" s="13"/>
      <c r="U97" s="13"/>
      <c r="V97" s="13"/>
      <c r="W97" s="13"/>
      <c r="X97" s="13" t="s">
        <v>45</v>
      </c>
      <c r="Y97" s="13" t="s">
        <v>45</v>
      </c>
      <c r="Z97" s="13"/>
      <c r="AA97" s="13" t="b">
        <v>0</v>
      </c>
      <c r="AB97" s="13" t="b">
        <v>0</v>
      </c>
      <c r="AC97" s="13" t="b">
        <v>0</v>
      </c>
      <c r="AD97" s="13"/>
      <c r="AE97" s="27"/>
      <c r="AF97" s="27" t="str">
        <f>IFERROR(__xludf.DUMMYFUNCTION("""COMPUTED_VALUE"""),"")</f>
        <v/>
      </c>
      <c r="AG97" s="27"/>
      <c r="AH97" s="27"/>
      <c r="AI97" s="27"/>
    </row>
    <row r="98" collapsed="1">
      <c r="A98" s="27" t="s">
        <v>113</v>
      </c>
      <c r="B98" s="30" t="s">
        <v>334</v>
      </c>
      <c r="C98" s="27"/>
      <c r="D98" s="27" t="s">
        <v>335</v>
      </c>
      <c r="E98" s="27"/>
      <c r="F98" s="27"/>
      <c r="G98" s="27"/>
      <c r="H98" s="27"/>
      <c r="I98" s="27"/>
      <c r="J98" s="27"/>
      <c r="K98" s="27"/>
      <c r="L98" s="27"/>
      <c r="M98" s="27"/>
      <c r="N98" s="13"/>
      <c r="O98" s="27"/>
      <c r="P98" s="27"/>
      <c r="Q98" s="13"/>
      <c r="R98" s="13"/>
      <c r="S98" s="13"/>
      <c r="T98" s="13"/>
      <c r="U98" s="13"/>
      <c r="V98" s="13"/>
      <c r="W98" s="13"/>
      <c r="X98" s="13" t="s">
        <v>45</v>
      </c>
      <c r="Y98" s="13" t="s">
        <v>45</v>
      </c>
      <c r="Z98" s="13"/>
      <c r="AA98" s="13" t="b">
        <v>0</v>
      </c>
      <c r="AB98" s="13" t="b">
        <v>0</v>
      </c>
      <c r="AC98" s="13" t="b">
        <v>0</v>
      </c>
      <c r="AD98" s="13"/>
      <c r="AE98" s="27"/>
      <c r="AF98" s="27" t="str">
        <f>IFERROR(__xludf.DUMMYFUNCTION("""COMPUTED_VALUE"""),"")</f>
        <v/>
      </c>
      <c r="AG98" s="27"/>
      <c r="AH98" s="27"/>
      <c r="AI98" s="27"/>
    </row>
    <row r="99" hidden="1" outlineLevel="1" collapsed="1">
      <c r="A99" s="27" t="s">
        <v>113</v>
      </c>
      <c r="B99" s="30" t="s">
        <v>336</v>
      </c>
      <c r="C99" s="27"/>
      <c r="D99" s="27"/>
      <c r="E99" s="27" t="s">
        <v>116</v>
      </c>
      <c r="F99" s="27"/>
      <c r="G99" s="27"/>
      <c r="H99" s="27"/>
      <c r="I99" s="27"/>
      <c r="J99" s="27"/>
      <c r="K99" s="27"/>
      <c r="L99" s="27"/>
      <c r="M99" s="27"/>
      <c r="N99" s="13"/>
      <c r="O99" s="27"/>
      <c r="P99" s="27"/>
      <c r="Q99" s="13"/>
      <c r="R99" s="13"/>
      <c r="S99" s="13"/>
      <c r="T99" s="13"/>
      <c r="U99" s="13"/>
      <c r="V99" s="13"/>
      <c r="W99" s="13"/>
      <c r="X99" s="13" t="s">
        <v>45</v>
      </c>
      <c r="Y99" s="13"/>
      <c r="Z99" s="13"/>
      <c r="AA99" s="13" t="b">
        <v>0</v>
      </c>
      <c r="AB99" s="13" t="b">
        <v>0</v>
      </c>
      <c r="AC99" s="13" t="b">
        <v>0</v>
      </c>
      <c r="AD99" s="13"/>
      <c r="AE99" s="27"/>
      <c r="AF99" s="27" t="str">
        <f>IFERROR(__xludf.DUMMYFUNCTION("""COMPUTED_VALUE"""),"")</f>
        <v/>
      </c>
      <c r="AG99" s="27"/>
      <c r="AH99" s="27"/>
      <c r="AI99" s="27"/>
    </row>
    <row r="100" hidden="1" outlineLevel="2">
      <c r="A100" s="27" t="s">
        <v>337</v>
      </c>
      <c r="B100" s="30" t="s">
        <v>338</v>
      </c>
      <c r="C100" s="27" t="s">
        <v>339</v>
      </c>
      <c r="D100" s="27"/>
      <c r="E100" s="27"/>
      <c r="F100" s="27"/>
      <c r="G100" s="27" t="s">
        <v>107</v>
      </c>
      <c r="H100" s="27"/>
      <c r="I100" s="27"/>
      <c r="J100" s="27"/>
      <c r="K100" s="27"/>
      <c r="L100" s="27"/>
      <c r="M100" s="27"/>
      <c r="O100" s="27"/>
      <c r="P100" s="27"/>
      <c r="W100" s="13" t="s">
        <v>340</v>
      </c>
      <c r="X100" s="13" t="s">
        <v>45</v>
      </c>
      <c r="Y100" s="13" t="s">
        <v>340</v>
      </c>
      <c r="AA100" s="13" t="b">
        <v>0</v>
      </c>
      <c r="AB100" s="13" t="b">
        <v>0</v>
      </c>
      <c r="AC100" s="13" t="b">
        <v>0</v>
      </c>
      <c r="AE100" s="27"/>
      <c r="AF100" s="27" t="str">
        <f>IFERROR(__xludf.DUMMYFUNCTION("""COMPUTED_VALUE"""),"quick,likert,map,minimal,search,columns-pack,columns,columns-n,no-buttons,image-map,label,list-nolabel,list")</f>
        <v>quick,likert,map,minimal,search,columns-pack,columns,columns-n,no-buttons,image-map,label,list-nolabel,list</v>
      </c>
      <c r="AG100" s="27"/>
      <c r="AH100" s="27"/>
      <c r="AI100" s="27"/>
    </row>
    <row r="101" hidden="1" outlineLevel="2">
      <c r="A101" s="27" t="s">
        <v>341</v>
      </c>
      <c r="B101" s="30" t="s">
        <v>342</v>
      </c>
      <c r="C101" s="27" t="s">
        <v>343</v>
      </c>
      <c r="D101" s="27" t="s">
        <v>344</v>
      </c>
      <c r="E101" s="27"/>
      <c r="F101" s="27"/>
      <c r="G101" s="27"/>
      <c r="H101" s="27"/>
      <c r="I101" s="27"/>
      <c r="J101" s="27" t="s">
        <v>82</v>
      </c>
      <c r="K101" s="27"/>
      <c r="L101" s="27"/>
      <c r="M101" s="27"/>
      <c r="O101" s="27"/>
      <c r="P101" s="27"/>
      <c r="W101" s="13" t="s">
        <v>345</v>
      </c>
      <c r="X101" s="13" t="s">
        <v>45</v>
      </c>
      <c r="Y101" s="13" t="s">
        <v>345</v>
      </c>
      <c r="AA101" s="13" t="b">
        <v>0</v>
      </c>
      <c r="AB101" s="13" t="b">
        <v>0</v>
      </c>
      <c r="AC101" s="13" t="b">
        <v>0</v>
      </c>
      <c r="AE101" s="27"/>
      <c r="AF101" s="27" t="str">
        <f>IFERROR(__xludf.DUMMYFUNCTION("""COMPUTED_VALUE"""),"no-calendar,month-year,year,ethiopian,coptic,islamic,bikram-sambat,myanmar,persian")</f>
        <v>no-calendar,month-year,year,ethiopian,coptic,islamic,bikram-sambat,myanmar,persian</v>
      </c>
      <c r="AG101" s="27"/>
      <c r="AH101" s="27"/>
      <c r="AI101" s="27"/>
    </row>
    <row r="102" hidden="1" outlineLevel="2">
      <c r="A102" s="27" t="s">
        <v>231</v>
      </c>
      <c r="B102" s="30" t="s">
        <v>346</v>
      </c>
      <c r="C102" s="27" t="s">
        <v>347</v>
      </c>
      <c r="D102" s="27" t="s">
        <v>348</v>
      </c>
      <c r="E102" s="27"/>
      <c r="F102" s="27"/>
      <c r="G102" s="27" t="s">
        <v>107</v>
      </c>
      <c r="H102" s="27"/>
      <c r="I102" s="27"/>
      <c r="J102" s="27"/>
      <c r="K102" s="27"/>
      <c r="L102" s="27" t="s">
        <v>236</v>
      </c>
      <c r="M102" s="27"/>
      <c r="O102" s="27"/>
      <c r="P102" s="27"/>
      <c r="W102" s="13" t="s">
        <v>349</v>
      </c>
      <c r="X102" s="13" t="s">
        <v>45</v>
      </c>
      <c r="Y102" s="13" t="s">
        <v>349</v>
      </c>
      <c r="AA102" s="13" t="b">
        <v>0</v>
      </c>
      <c r="AB102" s="13" t="b">
        <v>0</v>
      </c>
      <c r="AC102" s="13" t="b">
        <v>0</v>
      </c>
      <c r="AE102" s="27"/>
      <c r="AF102" s="27" t="str">
        <f>IFERROR(__xludf.DUMMYFUNCTION("""COMPUTED_VALUE"""),"")</f>
        <v/>
      </c>
      <c r="AG102" s="27"/>
      <c r="AH102" s="27"/>
      <c r="AI102" s="27"/>
    </row>
    <row r="103" hidden="1" outlineLevel="1">
      <c r="A103" s="27" t="s">
        <v>283</v>
      </c>
      <c r="B103" s="30"/>
      <c r="C103" s="27"/>
      <c r="D103" s="27"/>
      <c r="E103" s="27"/>
      <c r="F103" s="27"/>
      <c r="G103" s="27"/>
      <c r="H103" s="27"/>
      <c r="I103" s="27"/>
      <c r="J103" s="27"/>
      <c r="K103" s="27"/>
      <c r="L103" s="27"/>
      <c r="M103" s="27"/>
      <c r="N103" s="13"/>
      <c r="O103" s="27"/>
      <c r="P103" s="27"/>
      <c r="Q103" s="13"/>
      <c r="R103" s="13"/>
      <c r="S103" s="13"/>
      <c r="T103" s="13"/>
      <c r="U103" s="13"/>
      <c r="V103" s="13"/>
      <c r="W103" s="13"/>
      <c r="X103" s="13" t="s">
        <v>45</v>
      </c>
      <c r="Y103" s="13"/>
      <c r="Z103" s="13"/>
      <c r="AA103" s="13" t="b">
        <v>0</v>
      </c>
      <c r="AB103" s="13" t="b">
        <v>0</v>
      </c>
      <c r="AC103" s="13" t="b">
        <v>0</v>
      </c>
      <c r="AD103" s="13"/>
      <c r="AE103" s="27"/>
      <c r="AF103" s="27" t="str">
        <f>IFERROR(__xludf.DUMMYFUNCTION("""COMPUTED_VALUE"""),"")</f>
        <v/>
      </c>
      <c r="AG103" s="27"/>
      <c r="AH103" s="27"/>
      <c r="AI103" s="27"/>
    </row>
    <row r="104" hidden="1" outlineLevel="1" collapsed="1">
      <c r="A104" s="27" t="s">
        <v>350</v>
      </c>
      <c r="B104" s="30" t="s">
        <v>351</v>
      </c>
      <c r="C104" s="27"/>
      <c r="D104" s="27"/>
      <c r="E104" s="27" t="s">
        <v>116</v>
      </c>
      <c r="F104" s="27"/>
      <c r="G104" s="27"/>
      <c r="H104" s="27"/>
      <c r="I104" s="27"/>
      <c r="J104" s="27"/>
      <c r="K104" s="27"/>
      <c r="L104" s="27"/>
      <c r="M104" s="27"/>
      <c r="N104" s="13"/>
      <c r="O104" s="27"/>
      <c r="P104" s="27"/>
      <c r="Q104" s="13"/>
      <c r="R104" s="13"/>
      <c r="S104" s="13"/>
      <c r="T104" s="13"/>
      <c r="U104" s="13"/>
      <c r="V104" s="13"/>
      <c r="W104" s="13"/>
      <c r="X104" s="13" t="s">
        <v>45</v>
      </c>
      <c r="Y104" s="13"/>
      <c r="Z104" s="13"/>
      <c r="AA104" s="13" t="b">
        <v>0</v>
      </c>
      <c r="AB104" s="13" t="b">
        <v>0</v>
      </c>
      <c r="AC104" s="13" t="b">
        <v>0</v>
      </c>
      <c r="AD104" s="13"/>
      <c r="AE104" s="27"/>
      <c r="AF104" s="27" t="str">
        <f>IFERROR(__xludf.DUMMYFUNCTION("""COMPUTED_VALUE"""),"")</f>
        <v/>
      </c>
      <c r="AG104" s="27"/>
      <c r="AH104" s="27"/>
      <c r="AI104" s="27"/>
    </row>
    <row r="105" hidden="1" outlineLevel="2">
      <c r="A105" s="27" t="s">
        <v>150</v>
      </c>
      <c r="B105" s="30" t="s">
        <v>352</v>
      </c>
      <c r="C105" s="27" t="s">
        <v>353</v>
      </c>
      <c r="D105" s="27" t="s">
        <v>344</v>
      </c>
      <c r="E105" s="27"/>
      <c r="F105" s="27"/>
      <c r="G105" s="27" t="s">
        <v>107</v>
      </c>
      <c r="H105" s="27"/>
      <c r="I105" s="27"/>
      <c r="J105" s="27"/>
      <c r="K105" s="27"/>
      <c r="L105" s="27"/>
      <c r="M105" s="27"/>
      <c r="O105" s="27"/>
      <c r="P105" s="27"/>
      <c r="W105" s="13" t="s">
        <v>354</v>
      </c>
      <c r="X105" s="13" t="s">
        <v>355</v>
      </c>
      <c r="Y105" s="13" t="s">
        <v>354</v>
      </c>
      <c r="Z105" s="13" t="s">
        <v>356</v>
      </c>
      <c r="AA105" s="13" t="b">
        <v>0</v>
      </c>
      <c r="AB105" s="13" t="b">
        <v>0</v>
      </c>
      <c r="AC105" s="13" t="b">
        <v>0</v>
      </c>
      <c r="AE105" s="27"/>
      <c r="AF105" s="27" t="str">
        <f>IFERROR(__xludf.DUMMYFUNCTION("""COMPUTED_VALUE"""),"ex:,thousands-sep,counter")</f>
        <v>ex:,thousands-sep,counter</v>
      </c>
      <c r="AG105" s="27"/>
      <c r="AH105" s="27"/>
      <c r="AI105" s="27"/>
    </row>
    <row r="106" hidden="1" outlineLevel="2">
      <c r="A106" s="27" t="s">
        <v>357</v>
      </c>
      <c r="B106" s="30" t="s">
        <v>358</v>
      </c>
      <c r="C106" s="27" t="s">
        <v>359</v>
      </c>
      <c r="D106" s="27" t="s">
        <v>344</v>
      </c>
      <c r="E106" s="27"/>
      <c r="F106" s="27"/>
      <c r="G106" s="27"/>
      <c r="H106" s="27"/>
      <c r="I106" s="27"/>
      <c r="J106" s="27"/>
      <c r="K106" s="27"/>
      <c r="L106" s="27"/>
      <c r="M106" s="27"/>
      <c r="O106" s="27"/>
      <c r="P106" s="27"/>
      <c r="W106" s="13" t="s">
        <v>360</v>
      </c>
      <c r="X106" s="13" t="s">
        <v>361</v>
      </c>
      <c r="Y106" s="13" t="s">
        <v>360</v>
      </c>
      <c r="Z106" s="13" t="s">
        <v>362</v>
      </c>
      <c r="AA106" s="13" t="b">
        <v>0</v>
      </c>
      <c r="AB106" s="13" t="b">
        <v>0</v>
      </c>
      <c r="AC106" s="13" t="b">
        <v>0</v>
      </c>
      <c r="AE106" s="27"/>
      <c r="AF106" s="27" t="str">
        <f>IFERROR(__xludf.DUMMYFUNCTION("""COMPUTED_VALUE"""),"quick,likert,map,minimal,search,columns-pack,columns,columns-n,no-buttons,image-map,label,list-nolabel,list")</f>
        <v>quick,likert,map,minimal,search,columns-pack,columns,columns-n,no-buttons,image-map,label,list-nolabel,list</v>
      </c>
      <c r="AG106" s="27"/>
      <c r="AH106" s="27"/>
      <c r="AI106" s="27"/>
    </row>
    <row r="107" hidden="1" outlineLevel="2">
      <c r="A107" s="27" t="s">
        <v>231</v>
      </c>
      <c r="B107" s="30" t="s">
        <v>363</v>
      </c>
      <c r="C107" s="27" t="s">
        <v>364</v>
      </c>
      <c r="D107" s="27" t="s">
        <v>344</v>
      </c>
      <c r="E107" s="27"/>
      <c r="F107" s="27"/>
      <c r="G107" s="27" t="s">
        <v>107</v>
      </c>
      <c r="H107" s="27"/>
      <c r="I107" s="27"/>
      <c r="J107" s="27"/>
      <c r="K107" s="27"/>
      <c r="L107" s="27" t="s">
        <v>236</v>
      </c>
      <c r="M107" s="27"/>
      <c r="O107" s="27"/>
      <c r="P107" s="27"/>
      <c r="W107" s="13" t="s">
        <v>365</v>
      </c>
      <c r="X107" s="13" t="s">
        <v>366</v>
      </c>
      <c r="Y107" s="13" t="s">
        <v>365</v>
      </c>
      <c r="Z107" s="13" t="s">
        <v>367</v>
      </c>
      <c r="AA107" s="13" t="b">
        <v>0</v>
      </c>
      <c r="AB107" s="13" t="b">
        <v>0</v>
      </c>
      <c r="AC107" s="13" t="b">
        <v>0</v>
      </c>
      <c r="AE107" s="27"/>
      <c r="AF107" s="27" t="str">
        <f>IFERROR(__xludf.DUMMYFUNCTION("""COMPUTED_VALUE"""),"")</f>
        <v/>
      </c>
      <c r="AG107" s="27"/>
      <c r="AH107" s="27"/>
      <c r="AI107" s="27"/>
    </row>
    <row r="108" hidden="1" outlineLevel="2">
      <c r="A108" s="27" t="s">
        <v>150</v>
      </c>
      <c r="B108" s="30" t="s">
        <v>368</v>
      </c>
      <c r="C108" s="27" t="s">
        <v>369</v>
      </c>
      <c r="D108" s="27" t="s">
        <v>370</v>
      </c>
      <c r="E108" s="27"/>
      <c r="F108" s="27"/>
      <c r="G108" s="27" t="s">
        <v>107</v>
      </c>
      <c r="H108" s="27"/>
      <c r="I108" s="27"/>
      <c r="J108" s="27"/>
      <c r="K108" s="27"/>
      <c r="L108" s="27"/>
      <c r="M108" s="27"/>
      <c r="O108" s="27"/>
      <c r="P108" s="27"/>
      <c r="W108" s="13" t="s">
        <v>371</v>
      </c>
      <c r="X108" s="13" t="s">
        <v>372</v>
      </c>
      <c r="Y108" s="13" t="s">
        <v>371</v>
      </c>
      <c r="Z108" s="13" t="s">
        <v>373</v>
      </c>
      <c r="AA108" s="13" t="b">
        <v>0</v>
      </c>
      <c r="AB108" s="13" t="b">
        <v>0</v>
      </c>
      <c r="AC108" s="13" t="b">
        <v>0</v>
      </c>
      <c r="AE108" s="27"/>
      <c r="AF108" s="27" t="str">
        <f>IFERROR(__xludf.DUMMYFUNCTION("""COMPUTED_VALUE"""),"ex:,thousands-sep,counter")</f>
        <v>ex:,thousands-sep,counter</v>
      </c>
      <c r="AG108" s="27"/>
      <c r="AH108" s="27"/>
      <c r="AI108" s="27"/>
    </row>
    <row r="109" hidden="1" outlineLevel="2">
      <c r="A109" s="27" t="s">
        <v>231</v>
      </c>
      <c r="B109" s="30" t="s">
        <v>374</v>
      </c>
      <c r="C109" s="27" t="s">
        <v>375</v>
      </c>
      <c r="D109" s="27" t="s">
        <v>370</v>
      </c>
      <c r="E109" s="27"/>
      <c r="F109" s="27"/>
      <c r="G109" s="27" t="s">
        <v>107</v>
      </c>
      <c r="H109" s="27"/>
      <c r="I109" s="27"/>
      <c r="J109" s="27"/>
      <c r="K109" s="27"/>
      <c r="L109" s="27" t="s">
        <v>236</v>
      </c>
      <c r="M109" s="27"/>
      <c r="O109" s="27"/>
      <c r="P109" s="27"/>
      <c r="W109" s="13" t="s">
        <v>376</v>
      </c>
      <c r="X109" s="13" t="s">
        <v>377</v>
      </c>
      <c r="Y109" s="13" t="s">
        <v>376</v>
      </c>
      <c r="Z109" s="13" t="s">
        <v>378</v>
      </c>
      <c r="AA109" s="13" t="b">
        <v>0</v>
      </c>
      <c r="AB109" s="13" t="b">
        <v>0</v>
      </c>
      <c r="AC109" s="13" t="b">
        <v>0</v>
      </c>
      <c r="AE109" s="27"/>
      <c r="AF109" s="27" t="str">
        <f>IFERROR(__xludf.DUMMYFUNCTION("""COMPUTED_VALUE"""),"")</f>
        <v/>
      </c>
      <c r="AG109" s="27"/>
      <c r="AH109" s="27"/>
      <c r="AI109" s="27"/>
    </row>
    <row r="110" hidden="1" outlineLevel="1">
      <c r="A110" s="27" t="s">
        <v>379</v>
      </c>
      <c r="B110" s="30"/>
      <c r="C110" s="27"/>
      <c r="D110" s="27"/>
      <c r="E110" s="27"/>
      <c r="F110" s="27"/>
      <c r="G110" s="27"/>
      <c r="H110" s="27"/>
      <c r="I110" s="27"/>
      <c r="J110" s="27"/>
      <c r="K110" s="27"/>
      <c r="L110" s="27"/>
      <c r="M110" s="27"/>
      <c r="N110" s="13"/>
      <c r="O110" s="27"/>
      <c r="P110" s="27"/>
      <c r="Q110" s="13"/>
      <c r="R110" s="13"/>
      <c r="S110" s="13"/>
      <c r="T110" s="13"/>
      <c r="U110" s="13"/>
      <c r="V110" s="13"/>
      <c r="W110" s="13"/>
      <c r="X110" s="13" t="s">
        <v>45</v>
      </c>
      <c r="Y110" s="13"/>
      <c r="Z110" s="13"/>
      <c r="AA110" s="13" t="b">
        <v>0</v>
      </c>
      <c r="AB110" s="13" t="b">
        <v>0</v>
      </c>
      <c r="AC110" s="13" t="b">
        <v>0</v>
      </c>
      <c r="AD110" s="13"/>
      <c r="AE110" s="27"/>
      <c r="AF110" s="27" t="str">
        <f>IFERROR(__xludf.DUMMYFUNCTION("""COMPUTED_VALUE"""),"")</f>
        <v/>
      </c>
      <c r="AG110" s="27"/>
      <c r="AH110" s="27"/>
      <c r="AI110" s="27"/>
    </row>
    <row r="111" hidden="1" outlineLevel="1">
      <c r="A111" s="27" t="s">
        <v>80</v>
      </c>
      <c r="B111" s="30" t="s">
        <v>380</v>
      </c>
      <c r="C111" s="27"/>
      <c r="D111" s="27"/>
      <c r="E111" s="27"/>
      <c r="F111" s="27" t="s">
        <v>381</v>
      </c>
      <c r="G111" s="27"/>
      <c r="H111" s="27"/>
      <c r="I111" s="27"/>
      <c r="J111" s="27"/>
      <c r="K111" s="27"/>
      <c r="L111" s="27"/>
      <c r="M111" s="27"/>
      <c r="O111" s="27"/>
      <c r="P111" s="27"/>
      <c r="X111" s="13" t="s">
        <v>45</v>
      </c>
      <c r="AA111" s="13" t="b">
        <v>0</v>
      </c>
      <c r="AB111" s="13" t="b">
        <v>0</v>
      </c>
      <c r="AC111" s="13" t="b">
        <v>0</v>
      </c>
      <c r="AE111" s="27"/>
      <c r="AF111" s="27" t="str">
        <f>IFERROR(__xludf.DUMMYFUNCTION("""COMPUTED_VALUE"""),"")</f>
        <v/>
      </c>
      <c r="AG111" s="27"/>
      <c r="AH111" s="27"/>
      <c r="AI111" s="27"/>
    </row>
    <row r="112" hidden="1" outlineLevel="1">
      <c r="A112" s="27" t="s">
        <v>80</v>
      </c>
      <c r="B112" s="30" t="s">
        <v>382</v>
      </c>
      <c r="C112" s="27"/>
      <c r="D112" s="27"/>
      <c r="E112" s="27"/>
      <c r="F112" s="27" t="s">
        <v>383</v>
      </c>
      <c r="G112" s="27"/>
      <c r="H112" s="27"/>
      <c r="I112" s="27"/>
      <c r="J112" s="27"/>
      <c r="K112" s="27"/>
      <c r="L112" s="27"/>
      <c r="M112" s="27"/>
      <c r="O112" s="27"/>
      <c r="P112" s="27"/>
      <c r="X112" s="13" t="s">
        <v>45</v>
      </c>
      <c r="AA112" s="13" t="b">
        <v>0</v>
      </c>
      <c r="AB112" s="13" t="b">
        <v>0</v>
      </c>
      <c r="AC112" s="13" t="b">
        <v>0</v>
      </c>
      <c r="AE112" s="27"/>
      <c r="AF112" s="27" t="str">
        <f>IFERROR(__xludf.DUMMYFUNCTION("""COMPUTED_VALUE"""),"")</f>
        <v/>
      </c>
      <c r="AG112" s="27"/>
      <c r="AH112" s="27"/>
      <c r="AI112" s="27"/>
    </row>
    <row r="113" hidden="1" outlineLevel="1">
      <c r="A113" s="27" t="s">
        <v>76</v>
      </c>
      <c r="B113" s="30" t="s">
        <v>384</v>
      </c>
      <c r="C113" s="27" t="s">
        <v>385</v>
      </c>
      <c r="D113" s="27" t="s">
        <v>344</v>
      </c>
      <c r="E113" s="27"/>
      <c r="F113" s="27"/>
      <c r="G113" s="27"/>
      <c r="H113" s="27"/>
      <c r="I113" s="27"/>
      <c r="J113" s="27"/>
      <c r="K113" s="27"/>
      <c r="L113" s="27"/>
      <c r="M113" s="27"/>
      <c r="O113" s="27"/>
      <c r="P113" s="27"/>
      <c r="W113" s="13" t="s">
        <v>386</v>
      </c>
      <c r="X113" s="13" t="s">
        <v>45</v>
      </c>
      <c r="Y113" s="13" t="s">
        <v>386</v>
      </c>
      <c r="AA113" s="13" t="b">
        <v>0</v>
      </c>
      <c r="AB113" s="13" t="b">
        <v>0</v>
      </c>
      <c r="AC113" s="13" t="b">
        <v>0</v>
      </c>
      <c r="AE113" s="27"/>
      <c r="AF113" s="27" t="str">
        <f>IFERROR(__xludf.DUMMYFUNCTION("""COMPUTED_VALUE"""),"")</f>
        <v/>
      </c>
      <c r="AG113" s="27"/>
      <c r="AH113" s="27"/>
      <c r="AI113" s="27"/>
    </row>
    <row r="114" hidden="1" outlineLevel="1">
      <c r="A114" s="27" t="s">
        <v>76</v>
      </c>
      <c r="B114" s="30" t="s">
        <v>387</v>
      </c>
      <c r="C114" s="27" t="s">
        <v>388</v>
      </c>
      <c r="D114" s="27" t="s">
        <v>370</v>
      </c>
      <c r="E114" s="27"/>
      <c r="F114" s="27"/>
      <c r="G114" s="27"/>
      <c r="H114" s="27"/>
      <c r="I114" s="27"/>
      <c r="J114" s="27"/>
      <c r="K114" s="27"/>
      <c r="L114" s="27"/>
      <c r="M114" s="27"/>
      <c r="O114" s="27"/>
      <c r="P114" s="27"/>
      <c r="W114" s="13" t="s">
        <v>389</v>
      </c>
      <c r="X114" s="13" t="s">
        <v>45</v>
      </c>
      <c r="Y114" s="13" t="s">
        <v>389</v>
      </c>
      <c r="AA114" s="13" t="b">
        <v>0</v>
      </c>
      <c r="AB114" s="13" t="b">
        <v>0</v>
      </c>
      <c r="AC114" s="13" t="b">
        <v>0</v>
      </c>
      <c r="AE114" s="27"/>
      <c r="AF114" s="27" t="str">
        <f>IFERROR(__xludf.DUMMYFUNCTION("""COMPUTED_VALUE"""),"")</f>
        <v/>
      </c>
      <c r="AG114" s="27"/>
      <c r="AH114" s="27"/>
      <c r="AI114" s="27"/>
    </row>
    <row r="115">
      <c r="A115" s="27" t="s">
        <v>283</v>
      </c>
      <c r="B115" s="30"/>
      <c r="C115" s="27"/>
      <c r="D115" s="27"/>
      <c r="E115" s="27"/>
      <c r="F115" s="27"/>
      <c r="G115" s="27"/>
      <c r="H115" s="27"/>
      <c r="I115" s="27"/>
      <c r="J115" s="27"/>
      <c r="K115" s="27"/>
      <c r="L115" s="27"/>
      <c r="M115" s="27"/>
      <c r="N115" s="13"/>
      <c r="O115" s="27"/>
      <c r="P115" s="27"/>
      <c r="Q115" s="13"/>
      <c r="R115" s="13"/>
      <c r="S115" s="13"/>
      <c r="T115" s="13"/>
      <c r="U115" s="13"/>
      <c r="V115" s="13"/>
      <c r="W115" s="13"/>
      <c r="X115" s="13" t="s">
        <v>45</v>
      </c>
      <c r="Y115" s="13" t="s">
        <v>45</v>
      </c>
      <c r="Z115" s="13"/>
      <c r="AA115" s="13" t="b">
        <v>0</v>
      </c>
      <c r="AB115" s="13" t="b">
        <v>0</v>
      </c>
      <c r="AC115" s="13" t="b">
        <v>0</v>
      </c>
      <c r="AD115" s="13"/>
      <c r="AE115" s="27"/>
      <c r="AF115" s="27" t="str">
        <f>IFERROR(__xludf.DUMMYFUNCTION("""COMPUTED_VALUE"""),"")</f>
        <v/>
      </c>
      <c r="AG115" s="27"/>
      <c r="AH115" s="27"/>
      <c r="AI115" s="27"/>
    </row>
    <row r="116">
      <c r="A116" s="27"/>
      <c r="B116" s="30"/>
      <c r="C116" s="27"/>
      <c r="D116" s="27"/>
      <c r="E116" s="27"/>
      <c r="F116" s="27"/>
      <c r="G116" s="27"/>
      <c r="H116" s="27"/>
      <c r="I116" s="27"/>
      <c r="J116" s="27"/>
      <c r="K116" s="27"/>
      <c r="L116" s="27"/>
      <c r="M116" s="27"/>
      <c r="O116" s="27"/>
      <c r="P116" s="27"/>
      <c r="X116" s="13" t="s">
        <v>45</v>
      </c>
      <c r="AA116" s="13" t="b">
        <v>0</v>
      </c>
      <c r="AB116" s="13" t="b">
        <v>0</v>
      </c>
      <c r="AC116" s="13" t="b">
        <v>0</v>
      </c>
      <c r="AE116" s="27"/>
      <c r="AF116" s="27" t="str">
        <f>IFERROR(__xludf.DUMMYFUNCTION("""COMPUTED_VALUE"""),"")</f>
        <v/>
      </c>
      <c r="AG116" s="27"/>
      <c r="AH116" s="27"/>
      <c r="AI116" s="27"/>
    </row>
    <row r="117" collapsed="1">
      <c r="A117" s="27" t="s">
        <v>113</v>
      </c>
      <c r="B117" s="30" t="s">
        <v>390</v>
      </c>
      <c r="C117" s="27" t="s">
        <v>391</v>
      </c>
      <c r="D117" s="27" t="s">
        <v>119</v>
      </c>
      <c r="E117" s="27" t="s">
        <v>116</v>
      </c>
      <c r="F117" s="27"/>
      <c r="G117" s="27"/>
      <c r="H117" s="27"/>
      <c r="I117" s="27"/>
      <c r="J117" s="27"/>
      <c r="K117" s="27"/>
      <c r="L117" s="27"/>
      <c r="M117" s="27"/>
      <c r="N117" s="13"/>
      <c r="O117" s="27"/>
      <c r="P117" s="27"/>
      <c r="Q117" s="13"/>
      <c r="R117" s="13"/>
      <c r="S117" s="13"/>
      <c r="T117" s="13"/>
      <c r="U117" s="13"/>
      <c r="V117" s="13"/>
      <c r="W117" s="13"/>
      <c r="X117" s="13" t="s">
        <v>45</v>
      </c>
      <c r="Y117" s="13"/>
      <c r="Z117" s="13"/>
      <c r="AA117" s="13" t="b">
        <v>0</v>
      </c>
      <c r="AB117" s="13" t="b">
        <v>0</v>
      </c>
      <c r="AC117" s="13" t="b">
        <v>0</v>
      </c>
      <c r="AD117" s="13"/>
      <c r="AE117" s="27"/>
      <c r="AF117" s="27" t="str">
        <f>IFERROR(__xludf.DUMMYFUNCTION("""COMPUTED_VALUE"""),"")</f>
        <v/>
      </c>
      <c r="AG117" s="27"/>
      <c r="AH117" s="27"/>
      <c r="AI117" s="27"/>
    </row>
    <row r="118" hidden="1" outlineLevel="1">
      <c r="A118" s="27" t="s">
        <v>341</v>
      </c>
      <c r="B118" s="30" t="s">
        <v>392</v>
      </c>
      <c r="C118" s="27" t="s">
        <v>42</v>
      </c>
      <c r="D118" s="27"/>
      <c r="E118" s="27"/>
      <c r="F118" s="27"/>
      <c r="G118" s="27" t="s">
        <v>107</v>
      </c>
      <c r="H118" s="27" t="s">
        <v>393</v>
      </c>
      <c r="I118" s="27"/>
      <c r="J118" s="27" t="s">
        <v>82</v>
      </c>
      <c r="K118" s="27"/>
      <c r="L118" s="27"/>
      <c r="M118" s="27"/>
      <c r="O118" s="27"/>
      <c r="P118" s="27"/>
      <c r="U118" s="13" t="s">
        <v>394</v>
      </c>
      <c r="V118" s="13" t="s">
        <v>395</v>
      </c>
      <c r="W118" s="13" t="s">
        <v>396</v>
      </c>
      <c r="X118" s="13" t="s">
        <v>45</v>
      </c>
      <c r="Y118" s="13" t="s">
        <v>396</v>
      </c>
      <c r="AA118" s="13" t="b">
        <v>0</v>
      </c>
      <c r="AB118" s="13" t="b">
        <v>0</v>
      </c>
      <c r="AC118" s="13" t="b">
        <v>0</v>
      </c>
      <c r="AE118" s="27"/>
      <c r="AF118" s="27" t="str">
        <f>IFERROR(__xludf.DUMMYFUNCTION("""COMPUTED_VALUE"""),"no-calendar,month-year,year,ethiopian,coptic,islamic,bikram-sambat,myanmar,persian")</f>
        <v>no-calendar,month-year,year,ethiopian,coptic,islamic,bikram-sambat,myanmar,persian</v>
      </c>
      <c r="AG118" s="27"/>
      <c r="AH118" s="27"/>
      <c r="AI118" s="27"/>
    </row>
    <row r="119" hidden="1" outlineLevel="1">
      <c r="A119" s="27" t="s">
        <v>324</v>
      </c>
      <c r="B119" s="30" t="s">
        <v>397</v>
      </c>
      <c r="C119" s="27" t="s">
        <v>37</v>
      </c>
      <c r="D119" s="27" t="s">
        <v>398</v>
      </c>
      <c r="E119" s="27"/>
      <c r="F119" s="27"/>
      <c r="G119" s="27"/>
      <c r="H119" s="27"/>
      <c r="I119" s="27"/>
      <c r="J119" s="27" t="s">
        <v>107</v>
      </c>
      <c r="K119" s="27"/>
      <c r="L119" s="27"/>
      <c r="M119" s="27"/>
      <c r="O119" s="27"/>
      <c r="P119" s="27"/>
      <c r="V119" s="13" t="s">
        <v>399</v>
      </c>
      <c r="W119" s="13" t="s">
        <v>400</v>
      </c>
      <c r="X119" s="13" t="s">
        <v>45</v>
      </c>
      <c r="Y119" s="13" t="s">
        <v>400</v>
      </c>
      <c r="AA119" s="13" t="b">
        <v>0</v>
      </c>
      <c r="AB119" s="13" t="b">
        <v>0</v>
      </c>
      <c r="AC119" s="13" t="b">
        <v>0</v>
      </c>
      <c r="AE119" s="27"/>
      <c r="AF119" s="27" t="str">
        <f>IFERROR(__xludf.DUMMYFUNCTION("""COMPUTED_VALUE"""),"quick,likert,map,minimal,search,columns-pack,columns,columns-n,no-buttons,image-map,label,list-nolabel,list")</f>
        <v>quick,likert,map,minimal,search,columns-pack,columns,columns-n,no-buttons,image-map,label,list-nolabel,list</v>
      </c>
      <c r="AG119" s="27"/>
      <c r="AH119" s="27"/>
      <c r="AI119" s="27"/>
    </row>
    <row r="120" hidden="1" outlineLevel="1" collapsed="1">
      <c r="A120" s="27" t="s">
        <v>113</v>
      </c>
      <c r="B120" s="30" t="s">
        <v>401</v>
      </c>
      <c r="C120" s="27" t="s">
        <v>402</v>
      </c>
      <c r="D120" s="27" t="s">
        <v>403</v>
      </c>
      <c r="E120" s="27"/>
      <c r="F120" s="27"/>
      <c r="G120" s="27"/>
      <c r="H120" s="27"/>
      <c r="I120" s="27"/>
      <c r="J120" s="27"/>
      <c r="K120" s="27"/>
      <c r="L120" s="27"/>
      <c r="M120" s="27"/>
      <c r="N120" s="13"/>
      <c r="O120" s="27"/>
      <c r="P120" s="27"/>
      <c r="Q120" s="13"/>
      <c r="R120" s="13"/>
      <c r="S120" s="13"/>
      <c r="T120" s="13"/>
      <c r="U120" s="13"/>
      <c r="V120" s="13"/>
      <c r="W120" s="13" t="s">
        <v>404</v>
      </c>
      <c r="X120" s="13" t="s">
        <v>45</v>
      </c>
      <c r="Y120" s="13"/>
      <c r="Z120" s="13"/>
      <c r="AA120" s="13" t="b">
        <v>0</v>
      </c>
      <c r="AB120" s="13" t="b">
        <v>0</v>
      </c>
      <c r="AC120" s="13" t="b">
        <v>0</v>
      </c>
      <c r="AD120" s="13"/>
      <c r="AE120" s="27"/>
      <c r="AF120" s="27" t="str">
        <f>IFERROR(__xludf.DUMMYFUNCTION("""COMPUTED_VALUE"""),"")</f>
        <v/>
      </c>
      <c r="AG120" s="27"/>
      <c r="AH120" s="27"/>
      <c r="AI120" s="27"/>
    </row>
    <row r="121" hidden="1" outlineLevel="2">
      <c r="A121" s="27" t="s">
        <v>123</v>
      </c>
      <c r="B121" s="30" t="s">
        <v>405</v>
      </c>
      <c r="C121" s="27" t="s">
        <v>34</v>
      </c>
      <c r="D121" s="27" t="s">
        <v>126</v>
      </c>
      <c r="E121" s="27" t="s">
        <v>45</v>
      </c>
      <c r="F121" s="27" t="s">
        <v>45</v>
      </c>
      <c r="G121" s="27" t="s">
        <v>45</v>
      </c>
      <c r="H121" s="27" t="s">
        <v>406</v>
      </c>
      <c r="I121" s="27" t="s">
        <v>45</v>
      </c>
      <c r="J121" s="27" t="s">
        <v>45</v>
      </c>
      <c r="K121" s="27" t="s">
        <v>45</v>
      </c>
      <c r="L121" s="27" t="s">
        <v>45</v>
      </c>
      <c r="M121" s="27" t="s">
        <v>45</v>
      </c>
      <c r="N121" s="13" t="s">
        <v>45</v>
      </c>
      <c r="O121" s="27" t="s">
        <v>45</v>
      </c>
      <c r="P121" s="27" t="s">
        <v>45</v>
      </c>
      <c r="Q121" s="13" t="s">
        <v>129</v>
      </c>
      <c r="U121" s="13" t="s">
        <v>128</v>
      </c>
      <c r="V121" s="13" t="s">
        <v>407</v>
      </c>
      <c r="W121" s="13" t="s">
        <v>408</v>
      </c>
      <c r="X121" s="13" t="s">
        <v>45</v>
      </c>
      <c r="Y121" s="13" t="s">
        <v>409</v>
      </c>
      <c r="AA121" s="13" t="b">
        <v>0</v>
      </c>
      <c r="AB121" s="13" t="b">
        <v>0</v>
      </c>
      <c r="AC121" s="13" t="b">
        <v>0</v>
      </c>
      <c r="AE121" s="27"/>
      <c r="AF121" s="27" t="str">
        <f>IFERROR(__xludf.DUMMYFUNCTION("""COMPUTED_VALUE"""),"")</f>
        <v/>
      </c>
      <c r="AG121" s="27"/>
      <c r="AH121" s="27"/>
      <c r="AI121" s="27"/>
    </row>
    <row r="122" hidden="1" outlineLevel="2">
      <c r="A122" s="27" t="s">
        <v>80</v>
      </c>
      <c r="B122" s="30" t="s">
        <v>410</v>
      </c>
      <c r="C122" s="27" t="s">
        <v>45</v>
      </c>
      <c r="D122" s="27" t="s">
        <v>45</v>
      </c>
      <c r="E122" s="27" t="s">
        <v>45</v>
      </c>
      <c r="F122" s="27" t="s">
        <v>411</v>
      </c>
      <c r="G122" s="27" t="s">
        <v>45</v>
      </c>
      <c r="H122" s="27"/>
      <c r="I122" s="27" t="s">
        <v>45</v>
      </c>
      <c r="J122" s="27" t="s">
        <v>45</v>
      </c>
      <c r="K122" s="27" t="s">
        <v>45</v>
      </c>
      <c r="L122" s="27" t="s">
        <v>45</v>
      </c>
      <c r="M122" s="27" t="s">
        <v>45</v>
      </c>
      <c r="N122" s="13" t="s">
        <v>45</v>
      </c>
      <c r="O122" s="27" t="s">
        <v>45</v>
      </c>
      <c r="P122" s="27" t="s">
        <v>412</v>
      </c>
      <c r="Q122" s="13" t="s">
        <v>45</v>
      </c>
      <c r="R122" s="13" t="s">
        <v>45</v>
      </c>
      <c r="S122" s="13" t="s">
        <v>45</v>
      </c>
      <c r="T122" s="13" t="s">
        <v>45</v>
      </c>
      <c r="U122" s="13" t="s">
        <v>45</v>
      </c>
      <c r="V122" s="13" t="s">
        <v>45</v>
      </c>
      <c r="W122" s="13" t="s">
        <v>45</v>
      </c>
      <c r="X122" s="13" t="s">
        <v>45</v>
      </c>
      <c r="Y122" s="13" t="s">
        <v>45</v>
      </c>
      <c r="AA122" s="13" t="b">
        <v>0</v>
      </c>
      <c r="AB122" s="13" t="b">
        <v>0</v>
      </c>
      <c r="AC122" s="13" t="b">
        <v>0</v>
      </c>
      <c r="AE122" s="27"/>
      <c r="AF122" s="27" t="str">
        <f>IFERROR(__xludf.DUMMYFUNCTION("""COMPUTED_VALUE"""),"")</f>
        <v/>
      </c>
      <c r="AG122" s="27"/>
      <c r="AH122" s="27"/>
      <c r="AI122" s="27"/>
    </row>
    <row r="123" hidden="1" outlineLevel="2">
      <c r="A123" s="27" t="s">
        <v>45</v>
      </c>
      <c r="B123" s="30" t="s">
        <v>45</v>
      </c>
      <c r="C123" s="27" t="s">
        <v>45</v>
      </c>
      <c r="D123" s="27" t="s">
        <v>45</v>
      </c>
      <c r="E123" s="27" t="s">
        <v>45</v>
      </c>
      <c r="F123" s="27" t="s">
        <v>45</v>
      </c>
      <c r="G123" s="27" t="s">
        <v>45</v>
      </c>
      <c r="H123" s="27" t="s">
        <v>45</v>
      </c>
      <c r="I123" s="27" t="s">
        <v>45</v>
      </c>
      <c r="J123" s="27" t="s">
        <v>45</v>
      </c>
      <c r="K123" s="27" t="s">
        <v>45</v>
      </c>
      <c r="L123" s="27" t="s">
        <v>45</v>
      </c>
      <c r="M123" s="27" t="s">
        <v>45</v>
      </c>
      <c r="N123" s="13" t="s">
        <v>45</v>
      </c>
      <c r="O123" s="27" t="s">
        <v>45</v>
      </c>
      <c r="P123" s="27" t="s">
        <v>45</v>
      </c>
      <c r="Q123" s="13" t="s">
        <v>45</v>
      </c>
      <c r="R123" s="13" t="s">
        <v>45</v>
      </c>
      <c r="S123" s="13" t="s">
        <v>45</v>
      </c>
      <c r="T123" s="13" t="s">
        <v>45</v>
      </c>
      <c r="U123" s="13" t="s">
        <v>45</v>
      </c>
      <c r="V123" s="13" t="s">
        <v>45</v>
      </c>
      <c r="W123" s="13" t="s">
        <v>45</v>
      </c>
      <c r="X123" s="13" t="s">
        <v>45</v>
      </c>
      <c r="Y123" s="13" t="s">
        <v>45</v>
      </c>
      <c r="AA123" s="13" t="b">
        <v>0</v>
      </c>
      <c r="AB123" s="13" t="b">
        <v>0</v>
      </c>
      <c r="AC123" s="13" t="b">
        <v>0</v>
      </c>
      <c r="AE123" s="27"/>
      <c r="AF123" s="27" t="str">
        <f>IFERROR(__xludf.DUMMYFUNCTION("""COMPUTED_VALUE"""),"")</f>
        <v/>
      </c>
      <c r="AG123" s="27"/>
      <c r="AH123" s="27"/>
      <c r="AI123" s="27"/>
    </row>
    <row r="124" hidden="1" outlineLevel="2">
      <c r="A124" s="27" t="s">
        <v>170</v>
      </c>
      <c r="B124" s="30" t="s">
        <v>413</v>
      </c>
      <c r="C124" s="27" t="s">
        <v>414</v>
      </c>
      <c r="D124" s="27" t="s">
        <v>415</v>
      </c>
      <c r="E124" s="27"/>
      <c r="F124" s="27" t="s">
        <v>416</v>
      </c>
      <c r="G124" s="27"/>
      <c r="H124" s="27" t="s">
        <v>417</v>
      </c>
      <c r="I124" s="27" t="s">
        <v>45</v>
      </c>
      <c r="J124" s="27" t="s">
        <v>45</v>
      </c>
      <c r="K124" s="27" t="s">
        <v>45</v>
      </c>
      <c r="L124" s="27" t="s">
        <v>45</v>
      </c>
      <c r="M124" s="27" t="s">
        <v>45</v>
      </c>
      <c r="N124" s="13" t="s">
        <v>176</v>
      </c>
      <c r="O124" s="27" t="s">
        <v>45</v>
      </c>
      <c r="P124" s="27" t="s">
        <v>412</v>
      </c>
      <c r="Q124" s="13" t="s">
        <v>45</v>
      </c>
      <c r="R124" s="13" t="s">
        <v>45</v>
      </c>
      <c r="S124" s="13" t="s">
        <v>45</v>
      </c>
      <c r="T124" s="13" t="s">
        <v>45</v>
      </c>
      <c r="U124" s="13" t="s">
        <v>177</v>
      </c>
      <c r="V124" s="13" t="s">
        <v>45</v>
      </c>
      <c r="W124" s="13" t="s">
        <v>418</v>
      </c>
      <c r="X124" s="13" t="s">
        <v>45</v>
      </c>
      <c r="Y124" s="13" t="s">
        <v>418</v>
      </c>
      <c r="AA124" s="13" t="b">
        <v>0</v>
      </c>
      <c r="AB124" s="13" t="b">
        <v>0</v>
      </c>
      <c r="AC124" s="13" t="b">
        <v>0</v>
      </c>
      <c r="AE124" s="27"/>
      <c r="AF124" s="27" t="str">
        <f>IFERROR(__xludf.DUMMYFUNCTION("""COMPUTED_VALUE"""),"numbers,multiline,url,ex:,thousands-sep")</f>
        <v>numbers,multiline,url,ex:,thousands-sep</v>
      </c>
      <c r="AG124" s="27"/>
      <c r="AH124" s="27"/>
      <c r="AI124" s="27"/>
    </row>
    <row r="125" hidden="1" outlineLevel="2">
      <c r="A125" s="27" t="s">
        <v>183</v>
      </c>
      <c r="B125" s="30" t="s">
        <v>419</v>
      </c>
      <c r="C125" s="27" t="s">
        <v>22</v>
      </c>
      <c r="D125" s="27" t="s">
        <v>420</v>
      </c>
      <c r="E125" s="27" t="s">
        <v>45</v>
      </c>
      <c r="F125" s="27" t="s">
        <v>45</v>
      </c>
      <c r="G125" s="27" t="s">
        <v>421</v>
      </c>
      <c r="H125" s="27"/>
      <c r="I125" s="27" t="s">
        <v>45</v>
      </c>
      <c r="J125" s="27" t="s">
        <v>45</v>
      </c>
      <c r="K125" s="27" t="s">
        <v>45</v>
      </c>
      <c r="L125" s="27" t="s">
        <v>45</v>
      </c>
      <c r="M125" s="27" t="s">
        <v>45</v>
      </c>
      <c r="N125" s="13" t="s">
        <v>45</v>
      </c>
      <c r="O125" s="27" t="s">
        <v>45</v>
      </c>
      <c r="P125" s="27" t="s">
        <v>45</v>
      </c>
      <c r="Q125" s="13" t="s">
        <v>45</v>
      </c>
      <c r="R125" s="13" t="s">
        <v>45</v>
      </c>
      <c r="S125" s="13" t="s">
        <v>45</v>
      </c>
      <c r="T125" s="13" t="s">
        <v>45</v>
      </c>
      <c r="U125" s="13" t="s">
        <v>45</v>
      </c>
      <c r="V125" s="13" t="s">
        <v>422</v>
      </c>
      <c r="W125" s="13" t="s">
        <v>187</v>
      </c>
      <c r="X125" s="13" t="s">
        <v>45</v>
      </c>
      <c r="Y125" s="13" t="s">
        <v>187</v>
      </c>
      <c r="AA125" s="13" t="b">
        <v>0</v>
      </c>
      <c r="AB125" s="13" t="b">
        <v>0</v>
      </c>
      <c r="AC125" s="13" t="b">
        <v>0</v>
      </c>
      <c r="AE125" s="27"/>
      <c r="AF125" s="27" t="str">
        <f>IFERROR(__xludf.DUMMYFUNCTION("""COMPUTED_VALUE"""),"placement-map,maps,hide-input")</f>
        <v>placement-map,maps,hide-input</v>
      </c>
      <c r="AG125" s="27"/>
      <c r="AH125" s="27"/>
      <c r="AI125" s="27"/>
    </row>
    <row r="126" hidden="1" outlineLevel="2">
      <c r="A126" s="27" t="s">
        <v>80</v>
      </c>
      <c r="B126" s="30" t="s">
        <v>423</v>
      </c>
      <c r="C126" s="27" t="s">
        <v>45</v>
      </c>
      <c r="D126" s="27" t="s">
        <v>45</v>
      </c>
      <c r="E126" s="27" t="s">
        <v>45</v>
      </c>
      <c r="F126" s="27" t="s">
        <v>424</v>
      </c>
      <c r="G126" s="27" t="s">
        <v>45</v>
      </c>
      <c r="H126" s="27" t="s">
        <v>45</v>
      </c>
      <c r="I126" s="27" t="s">
        <v>45</v>
      </c>
      <c r="J126" s="27" t="s">
        <v>45</v>
      </c>
      <c r="K126" s="27" t="s">
        <v>45</v>
      </c>
      <c r="L126" s="27" t="s">
        <v>45</v>
      </c>
      <c r="M126" s="27" t="s">
        <v>45</v>
      </c>
      <c r="N126" s="13" t="s">
        <v>45</v>
      </c>
      <c r="O126" s="27" t="s">
        <v>45</v>
      </c>
      <c r="P126" s="27" t="s">
        <v>192</v>
      </c>
      <c r="Q126" s="13" t="s">
        <v>45</v>
      </c>
      <c r="R126" s="13" t="s">
        <v>45</v>
      </c>
      <c r="S126" s="13" t="s">
        <v>45</v>
      </c>
      <c r="T126" s="13" t="s">
        <v>45</v>
      </c>
      <c r="U126" s="13" t="s">
        <v>45</v>
      </c>
      <c r="V126" s="13" t="s">
        <v>45</v>
      </c>
      <c r="W126" s="13" t="s">
        <v>45</v>
      </c>
      <c r="X126" s="13" t="s">
        <v>45</v>
      </c>
      <c r="Y126" s="13" t="s">
        <v>45</v>
      </c>
      <c r="AA126" s="13" t="b">
        <v>0</v>
      </c>
      <c r="AB126" s="13" t="b">
        <v>0</v>
      </c>
      <c r="AC126" s="13" t="b">
        <v>0</v>
      </c>
      <c r="AE126" s="27"/>
      <c r="AF126" s="27" t="str">
        <f>IFERROR(__xludf.DUMMYFUNCTION("""COMPUTED_VALUE"""),"")</f>
        <v/>
      </c>
      <c r="AG126" s="27"/>
      <c r="AH126" s="27"/>
      <c r="AI126" s="27"/>
    </row>
    <row r="127" hidden="1" outlineLevel="2">
      <c r="A127" s="27" t="s">
        <v>45</v>
      </c>
      <c r="B127" s="30" t="s">
        <v>45</v>
      </c>
      <c r="C127" s="27" t="s">
        <v>45</v>
      </c>
      <c r="D127" s="27" t="s">
        <v>45</v>
      </c>
      <c r="E127" s="27" t="s">
        <v>45</v>
      </c>
      <c r="F127" s="27" t="s">
        <v>45</v>
      </c>
      <c r="G127" s="27" t="s">
        <v>45</v>
      </c>
      <c r="H127" s="27" t="s">
        <v>45</v>
      </c>
      <c r="I127" s="27" t="s">
        <v>45</v>
      </c>
      <c r="J127" s="27" t="s">
        <v>45</v>
      </c>
      <c r="K127" s="27" t="s">
        <v>45</v>
      </c>
      <c r="L127" s="27" t="s">
        <v>45</v>
      </c>
      <c r="M127" s="27" t="s">
        <v>45</v>
      </c>
      <c r="N127" s="13" t="s">
        <v>45</v>
      </c>
      <c r="O127" s="27" t="s">
        <v>45</v>
      </c>
      <c r="P127" s="27" t="s">
        <v>45</v>
      </c>
      <c r="Q127" s="13" t="s">
        <v>45</v>
      </c>
      <c r="R127" s="13" t="s">
        <v>45</v>
      </c>
      <c r="S127" s="13" t="s">
        <v>45</v>
      </c>
      <c r="T127" s="13" t="s">
        <v>45</v>
      </c>
      <c r="U127" s="13" t="s">
        <v>45</v>
      </c>
      <c r="V127" s="13" t="s">
        <v>45</v>
      </c>
      <c r="W127" s="13" t="s">
        <v>45</v>
      </c>
      <c r="X127" s="13" t="s">
        <v>45</v>
      </c>
      <c r="Y127" s="13" t="s">
        <v>45</v>
      </c>
      <c r="AA127" s="13" t="b">
        <v>0</v>
      </c>
      <c r="AB127" s="13" t="b">
        <v>0</v>
      </c>
      <c r="AC127" s="13" t="b">
        <v>0</v>
      </c>
      <c r="AE127" s="27"/>
      <c r="AF127" s="27" t="str">
        <f>IFERROR(__xludf.DUMMYFUNCTION("""COMPUTED_VALUE"""),"")</f>
        <v/>
      </c>
      <c r="AG127" s="27"/>
      <c r="AH127" s="27"/>
      <c r="AI127" s="27"/>
    </row>
    <row r="128" hidden="1" outlineLevel="2">
      <c r="A128" s="27" t="s">
        <v>193</v>
      </c>
      <c r="B128" s="30" t="s">
        <v>425</v>
      </c>
      <c r="C128" s="27" t="s">
        <v>23</v>
      </c>
      <c r="D128" s="27" t="s">
        <v>420</v>
      </c>
      <c r="E128" s="27" t="s">
        <v>45</v>
      </c>
      <c r="F128" s="27" t="s">
        <v>45</v>
      </c>
      <c r="G128" s="27" t="s">
        <v>426</v>
      </c>
      <c r="H128" s="27" t="s">
        <v>45</v>
      </c>
      <c r="I128" s="27" t="s">
        <v>45</v>
      </c>
      <c r="J128" s="27" t="s">
        <v>45</v>
      </c>
      <c r="K128" s="27" t="s">
        <v>45</v>
      </c>
      <c r="L128" s="27" t="s">
        <v>45</v>
      </c>
      <c r="M128" s="27" t="s">
        <v>45</v>
      </c>
      <c r="N128" s="13" t="s">
        <v>45</v>
      </c>
      <c r="O128" s="27" t="s">
        <v>45</v>
      </c>
      <c r="P128" s="27" t="s">
        <v>45</v>
      </c>
      <c r="Q128" s="13" t="s">
        <v>45</v>
      </c>
      <c r="R128" s="13" t="s">
        <v>45</v>
      </c>
      <c r="S128" s="13" t="s">
        <v>45</v>
      </c>
      <c r="T128" s="13" t="s">
        <v>45</v>
      </c>
      <c r="U128" s="13" t="s">
        <v>45</v>
      </c>
      <c r="V128" s="13" t="s">
        <v>427</v>
      </c>
      <c r="W128" s="13" t="s">
        <v>195</v>
      </c>
      <c r="X128" s="13" t="s">
        <v>45</v>
      </c>
      <c r="Y128" s="13" t="s">
        <v>195</v>
      </c>
      <c r="AA128" s="13" t="b">
        <v>0</v>
      </c>
      <c r="AB128" s="13" t="b">
        <v>0</v>
      </c>
      <c r="AC128" s="13" t="b">
        <v>0</v>
      </c>
      <c r="AE128" s="27"/>
      <c r="AF128" s="27" t="str">
        <f>IFERROR(__xludf.DUMMYFUNCTION("""COMPUTED_VALUE"""),"ex:,new")</f>
        <v>ex:,new</v>
      </c>
      <c r="AG128" s="27"/>
      <c r="AH128" s="27"/>
      <c r="AI128" s="27"/>
    </row>
    <row r="129" hidden="1" outlineLevel="2">
      <c r="A129" s="27" t="s">
        <v>80</v>
      </c>
      <c r="B129" s="30" t="s">
        <v>428</v>
      </c>
      <c r="C129" s="27" t="s">
        <v>45</v>
      </c>
      <c r="D129" s="27" t="s">
        <v>45</v>
      </c>
      <c r="E129" s="27" t="s">
        <v>45</v>
      </c>
      <c r="F129" s="27" t="s">
        <v>429</v>
      </c>
      <c r="G129" s="27" t="s">
        <v>45</v>
      </c>
      <c r="H129" s="27" t="s">
        <v>45</v>
      </c>
      <c r="I129" s="27" t="s">
        <v>45</v>
      </c>
      <c r="J129" s="27" t="s">
        <v>45</v>
      </c>
      <c r="K129" s="27" t="s">
        <v>45</v>
      </c>
      <c r="L129" s="27" t="s">
        <v>45</v>
      </c>
      <c r="M129" s="27" t="s">
        <v>45</v>
      </c>
      <c r="N129" s="13" t="s">
        <v>45</v>
      </c>
      <c r="O129" s="27" t="s">
        <v>45</v>
      </c>
      <c r="P129" s="27" t="s">
        <v>45</v>
      </c>
      <c r="Q129" s="13" t="s">
        <v>45</v>
      </c>
      <c r="R129" s="13" t="s">
        <v>45</v>
      </c>
      <c r="S129" s="13" t="s">
        <v>45</v>
      </c>
      <c r="T129" s="13" t="s">
        <v>45</v>
      </c>
      <c r="U129" s="13" t="s">
        <v>45</v>
      </c>
      <c r="V129" s="13" t="s">
        <v>209</v>
      </c>
      <c r="W129" s="13" t="s">
        <v>45</v>
      </c>
      <c r="X129" s="13" t="s">
        <v>45</v>
      </c>
      <c r="Y129" s="13" t="s">
        <v>45</v>
      </c>
      <c r="AA129" s="13" t="b">
        <v>0</v>
      </c>
      <c r="AB129" s="13" t="b">
        <v>0</v>
      </c>
      <c r="AC129" s="13" t="b">
        <v>0</v>
      </c>
      <c r="AE129" s="27"/>
      <c r="AF129" s="27" t="str">
        <f>IFERROR(__xludf.DUMMYFUNCTION("""COMPUTED_VALUE"""),"")</f>
        <v/>
      </c>
      <c r="AG129" s="27"/>
      <c r="AH129" s="27"/>
      <c r="AI129" s="27"/>
    </row>
    <row r="130" hidden="1" outlineLevel="2">
      <c r="A130" s="27" t="s">
        <v>80</v>
      </c>
      <c r="B130" s="30" t="s">
        <v>430</v>
      </c>
      <c r="C130" s="27"/>
      <c r="D130" s="27"/>
      <c r="E130" s="27"/>
      <c r="F130" s="27" t="s">
        <v>431</v>
      </c>
      <c r="G130" s="27"/>
      <c r="H130" s="27"/>
      <c r="I130" s="27"/>
      <c r="J130" s="27"/>
      <c r="K130" s="27"/>
      <c r="L130" s="27"/>
      <c r="M130" s="27"/>
      <c r="O130" s="27"/>
      <c r="P130" s="27"/>
      <c r="X130" s="13" t="s">
        <v>45</v>
      </c>
      <c r="AA130" s="13" t="b">
        <v>0</v>
      </c>
      <c r="AB130" s="13" t="b">
        <v>0</v>
      </c>
      <c r="AC130" s="13" t="b">
        <v>0</v>
      </c>
      <c r="AE130" s="27"/>
      <c r="AF130" s="27" t="str">
        <f>IFERROR(__xludf.DUMMYFUNCTION("""COMPUTED_VALUE"""),"")</f>
        <v/>
      </c>
      <c r="AG130" s="27"/>
      <c r="AH130" s="27"/>
      <c r="AI130" s="27"/>
    </row>
    <row r="131" hidden="1" outlineLevel="2">
      <c r="A131" s="27" t="s">
        <v>76</v>
      </c>
      <c r="B131" s="30" t="s">
        <v>432</v>
      </c>
      <c r="C131" s="27" t="s">
        <v>433</v>
      </c>
      <c r="D131" s="27"/>
      <c r="E131" s="27"/>
      <c r="F131" s="27"/>
      <c r="G131" s="27"/>
      <c r="H131" s="27"/>
      <c r="I131" s="27"/>
      <c r="J131" s="27"/>
      <c r="K131" s="27"/>
      <c r="L131" s="27"/>
      <c r="M131" s="27"/>
      <c r="O131" s="27"/>
      <c r="P131" s="27"/>
      <c r="X131" s="13" t="s">
        <v>45</v>
      </c>
      <c r="Y131" s="13" t="s">
        <v>434</v>
      </c>
      <c r="AA131" s="13" t="b">
        <v>0</v>
      </c>
      <c r="AB131" s="13" t="b">
        <v>0</v>
      </c>
      <c r="AC131" s="13" t="b">
        <v>0</v>
      </c>
      <c r="AE131" s="27"/>
      <c r="AF131" s="27" t="str">
        <f>IFERROR(__xludf.DUMMYFUNCTION("""COMPUTED_VALUE"""),"")</f>
        <v/>
      </c>
      <c r="AG131" s="27"/>
      <c r="AH131" s="27"/>
      <c r="AI131" s="27"/>
    </row>
    <row r="132" hidden="1" outlineLevel="2">
      <c r="A132" s="27" t="s">
        <v>76</v>
      </c>
      <c r="B132" s="30" t="s">
        <v>435</v>
      </c>
      <c r="C132" s="27" t="s">
        <v>436</v>
      </c>
      <c r="D132" s="27"/>
      <c r="E132" s="27"/>
      <c r="F132" s="27"/>
      <c r="G132" s="27"/>
      <c r="H132" s="27"/>
      <c r="I132" s="27"/>
      <c r="J132" s="27"/>
      <c r="K132" s="27"/>
      <c r="L132" s="27"/>
      <c r="M132" s="27"/>
      <c r="O132" s="27"/>
      <c r="P132" s="27"/>
      <c r="X132" s="13" t="s">
        <v>45</v>
      </c>
      <c r="Y132" s="13" t="s">
        <v>434</v>
      </c>
      <c r="AA132" s="13" t="b">
        <v>0</v>
      </c>
      <c r="AB132" s="13" t="b">
        <v>0</v>
      </c>
      <c r="AC132" s="13" t="b">
        <v>0</v>
      </c>
      <c r="AE132" s="27"/>
      <c r="AF132" s="27" t="str">
        <f>IFERROR(__xludf.DUMMYFUNCTION("""COMPUTED_VALUE"""),"")</f>
        <v/>
      </c>
      <c r="AG132" s="27"/>
      <c r="AH132" s="27"/>
      <c r="AI132" s="27"/>
    </row>
    <row r="133" hidden="1" outlineLevel="2">
      <c r="A133" s="27" t="s">
        <v>80</v>
      </c>
      <c r="B133" s="30" t="s">
        <v>437</v>
      </c>
      <c r="C133" s="27"/>
      <c r="D133" s="27"/>
      <c r="E133" s="27"/>
      <c r="F133" s="27" t="s">
        <v>438</v>
      </c>
      <c r="G133" s="27"/>
      <c r="H133" s="27"/>
      <c r="I133" s="27"/>
      <c r="J133" s="27"/>
      <c r="K133" s="27"/>
      <c r="L133" s="27"/>
      <c r="M133" s="27"/>
      <c r="O133" s="27"/>
      <c r="P133" s="27"/>
      <c r="X133" s="13" t="s">
        <v>45</v>
      </c>
      <c r="AA133" s="13" t="b">
        <v>0</v>
      </c>
      <c r="AB133" s="13" t="b">
        <v>0</v>
      </c>
      <c r="AC133" s="13" t="b">
        <v>0</v>
      </c>
      <c r="AE133" s="27"/>
      <c r="AF133" s="27" t="str">
        <f>IFERROR(__xludf.DUMMYFUNCTION("""COMPUTED_VALUE"""),"")</f>
        <v/>
      </c>
      <c r="AG133" s="27"/>
      <c r="AH133" s="27"/>
      <c r="AI133" s="27"/>
    </row>
    <row r="134" hidden="1" outlineLevel="2">
      <c r="A134" s="27" t="s">
        <v>76</v>
      </c>
      <c r="B134" s="30" t="s">
        <v>439</v>
      </c>
      <c r="C134" s="27" t="s">
        <v>440</v>
      </c>
      <c r="D134" s="27"/>
      <c r="E134" s="27"/>
      <c r="F134" s="27"/>
      <c r="G134" s="27"/>
      <c r="H134" s="27"/>
      <c r="I134" s="27"/>
      <c r="J134" s="27"/>
      <c r="K134" s="27"/>
      <c r="L134" s="27"/>
      <c r="M134" s="27"/>
      <c r="O134" s="27"/>
      <c r="P134" s="27"/>
      <c r="X134" s="13" t="s">
        <v>45</v>
      </c>
      <c r="AA134" s="13" t="b">
        <v>0</v>
      </c>
      <c r="AB134" s="13" t="b">
        <v>0</v>
      </c>
      <c r="AC134" s="13" t="b">
        <v>0</v>
      </c>
      <c r="AE134" s="27"/>
      <c r="AF134" s="27" t="str">
        <f>IFERROR(__xludf.DUMMYFUNCTION("""COMPUTED_VALUE"""),"")</f>
        <v/>
      </c>
      <c r="AG134" s="27"/>
      <c r="AH134" s="27"/>
      <c r="AI134" s="27"/>
    </row>
    <row r="135" hidden="1" outlineLevel="2">
      <c r="A135" s="27"/>
      <c r="B135" s="30"/>
      <c r="C135" s="27"/>
      <c r="D135" s="27"/>
      <c r="E135" s="27"/>
      <c r="F135" s="27"/>
      <c r="G135" s="27"/>
      <c r="H135" s="27"/>
      <c r="I135" s="27"/>
      <c r="J135" s="27"/>
      <c r="K135" s="27"/>
      <c r="L135" s="27"/>
      <c r="M135" s="27"/>
      <c r="O135" s="27"/>
      <c r="P135" s="27"/>
      <c r="X135" s="13" t="s">
        <v>45</v>
      </c>
      <c r="AA135" s="13" t="b">
        <v>0</v>
      </c>
      <c r="AB135" s="13" t="b">
        <v>0</v>
      </c>
      <c r="AC135" s="13" t="b">
        <v>0</v>
      </c>
      <c r="AE135" s="27"/>
      <c r="AF135" s="27" t="str">
        <f>IFERROR(__xludf.DUMMYFUNCTION("""COMPUTED_VALUE"""),"")</f>
        <v/>
      </c>
      <c r="AG135" s="27"/>
      <c r="AH135" s="27"/>
      <c r="AI135" s="27"/>
    </row>
    <row r="136" hidden="1" outlineLevel="2">
      <c r="A136" s="27" t="s">
        <v>324</v>
      </c>
      <c r="B136" s="30" t="s">
        <v>441</v>
      </c>
      <c r="C136" s="27" t="s">
        <v>33</v>
      </c>
      <c r="D136" s="27"/>
      <c r="E136" s="27"/>
      <c r="F136" s="27" t="s">
        <v>442</v>
      </c>
      <c r="G136" s="27" t="s">
        <v>107</v>
      </c>
      <c r="H136" s="27"/>
      <c r="I136" s="27"/>
      <c r="J136" s="27"/>
      <c r="K136" s="27"/>
      <c r="L136" s="27"/>
      <c r="M136" s="27"/>
      <c r="O136" s="27"/>
      <c r="P136" s="27"/>
      <c r="V136" s="13" t="s">
        <v>443</v>
      </c>
      <c r="W136" s="13" t="s">
        <v>444</v>
      </c>
      <c r="X136" s="13" t="s">
        <v>45</v>
      </c>
      <c r="Y136" s="13" t="s">
        <v>444</v>
      </c>
      <c r="AA136" s="13" t="b">
        <v>0</v>
      </c>
      <c r="AB136" s="13" t="b">
        <v>0</v>
      </c>
      <c r="AC136" s="13" t="b">
        <v>0</v>
      </c>
      <c r="AE136" s="27"/>
      <c r="AF136" s="27" t="str">
        <f>IFERROR(__xludf.DUMMYFUNCTION("""COMPUTED_VALUE"""),"quick,likert,map,minimal,search,columns-pack,columns,columns-n,no-buttons,image-map,label,list-nolabel,list")</f>
        <v>quick,likert,map,minimal,search,columns-pack,columns,columns-n,no-buttons,image-map,label,list-nolabel,list</v>
      </c>
      <c r="AG136" s="27"/>
      <c r="AH136" s="27"/>
      <c r="AI136" s="27"/>
    </row>
    <row r="137" hidden="1" outlineLevel="2">
      <c r="A137" s="27" t="s">
        <v>202</v>
      </c>
      <c r="B137" s="30" t="s">
        <v>445</v>
      </c>
      <c r="C137" s="27" t="s">
        <v>446</v>
      </c>
      <c r="D137" s="27" t="s">
        <v>447</v>
      </c>
      <c r="E137" s="27" t="s">
        <v>206</v>
      </c>
      <c r="F137" s="27" t="s">
        <v>448</v>
      </c>
      <c r="G137" s="27" t="s">
        <v>107</v>
      </c>
      <c r="H137" s="27"/>
      <c r="I137" s="27"/>
      <c r="J137" s="27"/>
      <c r="K137" s="27"/>
      <c r="L137" s="27"/>
      <c r="M137" s="27"/>
      <c r="O137" s="27"/>
      <c r="P137" s="27"/>
      <c r="W137" s="13" t="s">
        <v>449</v>
      </c>
      <c r="X137" s="13" t="s">
        <v>45</v>
      </c>
      <c r="Y137" s="13" t="s">
        <v>449</v>
      </c>
      <c r="AA137" s="13" t="b">
        <v>0</v>
      </c>
      <c r="AB137" s="13" t="b">
        <v>0</v>
      </c>
      <c r="AC137" s="13" t="b">
        <v>0</v>
      </c>
      <c r="AE137" s="27"/>
      <c r="AF137" s="27" t="str">
        <f>IFERROR(__xludf.DUMMYFUNCTION("""COMPUTED_VALUE"""),"quick,likert,map,minimal,search,columns-pack,columns,columns-n,no-buttons,image-map,label,list-nolabel,list")</f>
        <v>quick,likert,map,minimal,search,columns-pack,columns,columns-n,no-buttons,image-map,label,list-nolabel,list</v>
      </c>
      <c r="AG137" s="27"/>
      <c r="AH137" s="27"/>
      <c r="AI137" s="27"/>
    </row>
    <row r="138" hidden="1" outlineLevel="2">
      <c r="A138" s="27"/>
      <c r="B138" s="30"/>
      <c r="C138" s="27"/>
      <c r="D138" s="27"/>
      <c r="E138" s="27"/>
      <c r="F138" s="27"/>
      <c r="G138" s="27"/>
      <c r="H138" s="27"/>
      <c r="I138" s="27"/>
      <c r="J138" s="27"/>
      <c r="K138" s="27"/>
      <c r="L138" s="27"/>
      <c r="M138" s="27"/>
      <c r="O138" s="27"/>
      <c r="P138" s="27"/>
      <c r="X138" s="13" t="s">
        <v>45</v>
      </c>
      <c r="AA138" s="13" t="b">
        <v>0</v>
      </c>
      <c r="AB138" s="13" t="b">
        <v>0</v>
      </c>
      <c r="AC138" s="13" t="b">
        <v>0</v>
      </c>
      <c r="AE138" s="27"/>
      <c r="AF138" s="27" t="str">
        <f>IFERROR(__xludf.DUMMYFUNCTION("""COMPUTED_VALUE"""),"")</f>
        <v/>
      </c>
      <c r="AG138" s="27"/>
      <c r="AH138" s="27"/>
      <c r="AI138" s="27"/>
    </row>
    <row r="139" hidden="1" outlineLevel="2">
      <c r="A139" s="27"/>
      <c r="B139" s="30"/>
      <c r="C139" s="27"/>
      <c r="D139" s="27"/>
      <c r="E139" s="27"/>
      <c r="F139" s="27"/>
      <c r="G139" s="27"/>
      <c r="H139" s="27"/>
      <c r="I139" s="27"/>
      <c r="J139" s="27"/>
      <c r="K139" s="27"/>
      <c r="L139" s="27"/>
      <c r="M139" s="27"/>
      <c r="O139" s="27"/>
      <c r="P139" s="27"/>
      <c r="X139" s="13" t="s">
        <v>45</v>
      </c>
      <c r="AA139" s="13" t="b">
        <v>0</v>
      </c>
      <c r="AB139" s="13" t="b">
        <v>0</v>
      </c>
      <c r="AC139" s="13" t="b">
        <v>0</v>
      </c>
      <c r="AE139" s="27"/>
      <c r="AF139" s="27" t="str">
        <f>IFERROR(__xludf.DUMMYFUNCTION("""COMPUTED_VALUE"""),"")</f>
        <v/>
      </c>
      <c r="AG139" s="27"/>
      <c r="AH139" s="27"/>
      <c r="AI139" s="27"/>
    </row>
    <row r="140" hidden="1" outlineLevel="2">
      <c r="A140" s="27" t="s">
        <v>324</v>
      </c>
      <c r="B140" s="30" t="s">
        <v>450</v>
      </c>
      <c r="C140" s="27" t="s">
        <v>451</v>
      </c>
      <c r="D140" s="27"/>
      <c r="E140" s="27"/>
      <c r="F140" s="27"/>
      <c r="G140" s="27"/>
      <c r="H140" s="27"/>
      <c r="I140" s="27"/>
      <c r="J140" s="27" t="s">
        <v>176</v>
      </c>
      <c r="K140" s="27"/>
      <c r="L140" s="27"/>
      <c r="M140" s="27"/>
      <c r="O140" s="27"/>
      <c r="P140" s="27"/>
      <c r="X140" s="13" t="s">
        <v>45</v>
      </c>
      <c r="AA140" s="13" t="b">
        <v>0</v>
      </c>
      <c r="AB140" s="13" t="b">
        <v>0</v>
      </c>
      <c r="AC140" s="13" t="b">
        <v>0</v>
      </c>
      <c r="AE140" s="27"/>
      <c r="AF140" s="27" t="str">
        <f>IFERROR(__xludf.DUMMYFUNCTION("""COMPUTED_VALUE"""),"quick,likert,map,minimal,search,columns-pack,columns,columns-n,no-buttons,image-map,label,list-nolabel,list")</f>
        <v>quick,likert,map,minimal,search,columns-pack,columns,columns-n,no-buttons,image-map,label,list-nolabel,list</v>
      </c>
      <c r="AG140" s="27"/>
      <c r="AH140" s="27"/>
      <c r="AI140" s="27"/>
    </row>
    <row r="141" hidden="1" outlineLevel="2">
      <c r="A141" s="27" t="s">
        <v>80</v>
      </c>
      <c r="B141" s="30" t="s">
        <v>452</v>
      </c>
      <c r="C141" s="27"/>
      <c r="D141" s="27"/>
      <c r="E141" s="27"/>
      <c r="F141" s="27" t="s">
        <v>453</v>
      </c>
      <c r="G141" s="27"/>
      <c r="H141" s="27"/>
      <c r="I141" s="27"/>
      <c r="J141" s="27"/>
      <c r="K141" s="27"/>
      <c r="L141" s="27"/>
      <c r="M141" s="27"/>
      <c r="O141" s="27"/>
      <c r="P141" s="27"/>
      <c r="X141" s="13" t="s">
        <v>45</v>
      </c>
      <c r="AA141" s="13" t="b">
        <v>0</v>
      </c>
      <c r="AB141" s="13" t="b">
        <v>0</v>
      </c>
      <c r="AC141" s="13" t="b">
        <v>0</v>
      </c>
      <c r="AE141" s="27"/>
      <c r="AF141" s="27" t="str">
        <f>IFERROR(__xludf.DUMMYFUNCTION("""COMPUTED_VALUE"""),"")</f>
        <v/>
      </c>
      <c r="AG141" s="27"/>
      <c r="AH141" s="27"/>
      <c r="AI141" s="27"/>
    </row>
    <row r="142" hidden="1" outlineLevel="2">
      <c r="A142" s="27" t="s">
        <v>150</v>
      </c>
      <c r="B142" s="30" t="s">
        <v>454</v>
      </c>
      <c r="C142" s="27" t="s">
        <v>455</v>
      </c>
      <c r="D142" s="27" t="s">
        <v>456</v>
      </c>
      <c r="E142" s="27"/>
      <c r="F142" s="27"/>
      <c r="G142" s="27"/>
      <c r="H142" s="27"/>
      <c r="I142" s="27"/>
      <c r="J142" s="27" t="s">
        <v>457</v>
      </c>
      <c r="K142" s="27"/>
      <c r="L142" s="27"/>
      <c r="M142" s="27"/>
      <c r="O142" s="27"/>
      <c r="P142" s="27"/>
      <c r="W142" s="13" t="s">
        <v>458</v>
      </c>
      <c r="X142" s="13" t="s">
        <v>45</v>
      </c>
      <c r="AA142" s="13" t="b">
        <v>0</v>
      </c>
      <c r="AB142" s="13" t="b">
        <v>0</v>
      </c>
      <c r="AC142" s="13" t="b">
        <v>0</v>
      </c>
      <c r="AE142" s="27"/>
      <c r="AF142" s="27" t="str">
        <f>IFERROR(__xludf.DUMMYFUNCTION("""COMPUTED_VALUE"""),"ex:,thousands-sep,counter")</f>
        <v>ex:,thousands-sep,counter</v>
      </c>
      <c r="AG142" s="27"/>
      <c r="AH142" s="27"/>
      <c r="AI142" s="27"/>
    </row>
    <row r="143" hidden="1" outlineLevel="1">
      <c r="A143" s="27" t="s">
        <v>283</v>
      </c>
      <c r="B143" s="30"/>
      <c r="C143" s="27"/>
      <c r="D143" s="27"/>
      <c r="E143" s="27"/>
      <c r="F143" s="27"/>
      <c r="G143" s="27"/>
      <c r="H143" s="27"/>
      <c r="I143" s="27"/>
      <c r="J143" s="27"/>
      <c r="K143" s="27"/>
      <c r="L143" s="27"/>
      <c r="M143" s="27"/>
      <c r="N143" s="13"/>
      <c r="O143" s="27"/>
      <c r="P143" s="27"/>
      <c r="Q143" s="13"/>
      <c r="R143" s="13"/>
      <c r="S143" s="13"/>
      <c r="T143" s="13"/>
      <c r="U143" s="13"/>
      <c r="V143" s="13"/>
      <c r="W143" s="13"/>
      <c r="X143" s="13" t="s">
        <v>45</v>
      </c>
      <c r="Y143" s="13"/>
      <c r="Z143" s="13"/>
      <c r="AA143" s="13" t="b">
        <v>0</v>
      </c>
      <c r="AB143" s="13" t="b">
        <v>0</v>
      </c>
      <c r="AC143" s="13" t="b">
        <v>0</v>
      </c>
      <c r="AD143" s="13"/>
      <c r="AE143" s="27"/>
      <c r="AF143" s="27" t="str">
        <f>IFERROR(__xludf.DUMMYFUNCTION("""COMPUTED_VALUE"""),"")</f>
        <v/>
      </c>
      <c r="AG143" s="27"/>
      <c r="AH143" s="27"/>
      <c r="AI143" s="27"/>
    </row>
    <row r="144" hidden="1" outlineLevel="1">
      <c r="A144" s="27"/>
      <c r="B144" s="30"/>
      <c r="C144" s="27"/>
      <c r="D144" s="27"/>
      <c r="E144" s="27"/>
      <c r="F144" s="27"/>
      <c r="G144" s="27"/>
      <c r="H144" s="27"/>
      <c r="I144" s="27"/>
      <c r="J144" s="27"/>
      <c r="K144" s="27"/>
      <c r="L144" s="27"/>
      <c r="M144" s="27"/>
      <c r="O144" s="27"/>
      <c r="P144" s="27"/>
      <c r="X144" s="13" t="s">
        <v>45</v>
      </c>
      <c r="AA144" s="13" t="b">
        <v>0</v>
      </c>
      <c r="AB144" s="13" t="b">
        <v>0</v>
      </c>
      <c r="AC144" s="13" t="b">
        <v>0</v>
      </c>
      <c r="AE144" s="27"/>
      <c r="AF144" s="27" t="str">
        <f>IFERROR(__xludf.DUMMYFUNCTION("""COMPUTED_VALUE"""),"")</f>
        <v/>
      </c>
      <c r="AG144" s="27"/>
      <c r="AH144" s="27"/>
      <c r="AI144" s="27"/>
    </row>
    <row r="145" hidden="1" outlineLevel="1">
      <c r="A145" s="27"/>
      <c r="B145" s="30"/>
      <c r="C145" s="27"/>
      <c r="D145" s="27"/>
      <c r="E145" s="27"/>
      <c r="F145" s="27"/>
      <c r="G145" s="27"/>
      <c r="H145" s="27"/>
      <c r="I145" s="27"/>
      <c r="J145" s="27"/>
      <c r="K145" s="27"/>
      <c r="L145" s="27"/>
      <c r="M145" s="27"/>
      <c r="O145" s="27"/>
      <c r="P145" s="27"/>
      <c r="X145" s="13" t="s">
        <v>45</v>
      </c>
      <c r="AA145" s="13" t="b">
        <v>0</v>
      </c>
      <c r="AB145" s="13" t="b">
        <v>0</v>
      </c>
      <c r="AC145" s="13" t="b">
        <v>0</v>
      </c>
      <c r="AE145" s="27"/>
      <c r="AF145" s="27" t="str">
        <f>IFERROR(__xludf.DUMMYFUNCTION("""COMPUTED_VALUE"""),"")</f>
        <v/>
      </c>
      <c r="AG145" s="27"/>
      <c r="AH145" s="27"/>
      <c r="AI145" s="27"/>
    </row>
    <row r="146" hidden="1" outlineLevel="1">
      <c r="A146" s="27" t="s">
        <v>459</v>
      </c>
      <c r="B146" s="30" t="s">
        <v>460</v>
      </c>
      <c r="C146" s="27" t="s">
        <v>35</v>
      </c>
      <c r="D146" s="27" t="s">
        <v>461</v>
      </c>
      <c r="E146" s="27" t="s">
        <v>462</v>
      </c>
      <c r="F146" s="27"/>
      <c r="G146" s="27" t="s">
        <v>107</v>
      </c>
      <c r="H146" s="27"/>
      <c r="I146" s="27"/>
      <c r="J146" s="27"/>
      <c r="K146" s="27"/>
      <c r="L146" s="27"/>
      <c r="M146" s="27"/>
      <c r="O146" s="27"/>
      <c r="P146" s="27"/>
      <c r="V146" s="13" t="s">
        <v>463</v>
      </c>
      <c r="W146" s="13" t="s">
        <v>464</v>
      </c>
      <c r="X146" s="13" t="s">
        <v>45</v>
      </c>
      <c r="Y146" s="13" t="s">
        <v>464</v>
      </c>
      <c r="AA146" s="13" t="b">
        <v>0</v>
      </c>
      <c r="AB146" s="13" t="b">
        <v>0</v>
      </c>
      <c r="AC146" s="13" t="b">
        <v>0</v>
      </c>
      <c r="AE146" s="27"/>
      <c r="AF146" s="27" t="str">
        <f>IFERROR(__xludf.DUMMYFUNCTION("""COMPUTED_VALUE"""),"minimal,search,columns-pack,columns,columns-n,no-buttons,image-map,label,list-nolabel,list")</f>
        <v>minimal,search,columns-pack,columns,columns-n,no-buttons,image-map,label,list-nolabel,list</v>
      </c>
      <c r="AG146" s="27"/>
      <c r="AH146" s="27"/>
      <c r="AI146" s="27"/>
    </row>
    <row r="147" hidden="1" outlineLevel="1">
      <c r="A147" s="27" t="s">
        <v>170</v>
      </c>
      <c r="B147" s="30" t="s">
        <v>465</v>
      </c>
      <c r="C147" s="27" t="s">
        <v>466</v>
      </c>
      <c r="D147" s="27" t="s">
        <v>467</v>
      </c>
      <c r="E147" s="27"/>
      <c r="F147" s="27"/>
      <c r="G147" s="27" t="s">
        <v>107</v>
      </c>
      <c r="H147" s="27"/>
      <c r="I147" s="27"/>
      <c r="J147" s="27"/>
      <c r="K147" s="27"/>
      <c r="L147" s="27"/>
      <c r="M147" s="27"/>
      <c r="O147" s="27"/>
      <c r="P147" s="27"/>
      <c r="W147" s="13" t="s">
        <v>468</v>
      </c>
      <c r="X147" s="13" t="s">
        <v>45</v>
      </c>
      <c r="Y147" s="13" t="s">
        <v>468</v>
      </c>
      <c r="AA147" s="13" t="b">
        <v>0</v>
      </c>
      <c r="AB147" s="13" t="b">
        <v>0</v>
      </c>
      <c r="AC147" s="13" t="b">
        <v>0</v>
      </c>
      <c r="AE147" s="27"/>
      <c r="AF147" s="27" t="str">
        <f>IFERROR(__xludf.DUMMYFUNCTION("""COMPUTED_VALUE"""),"numbers,multiline,url,ex:,thousands-sep")</f>
        <v>numbers,multiline,url,ex:,thousands-sep</v>
      </c>
      <c r="AG147" s="27"/>
      <c r="AH147" s="27"/>
      <c r="AI147" s="27"/>
    </row>
    <row r="148" hidden="1" outlineLevel="1">
      <c r="A148" s="27" t="s">
        <v>150</v>
      </c>
      <c r="B148" s="30" t="s">
        <v>469</v>
      </c>
      <c r="C148" s="27" t="s">
        <v>24</v>
      </c>
      <c r="D148" s="27" t="s">
        <v>470</v>
      </c>
      <c r="E148" s="27"/>
      <c r="F148" s="27"/>
      <c r="G148" s="27" t="s">
        <v>107</v>
      </c>
      <c r="H148" s="27"/>
      <c r="I148" s="27"/>
      <c r="J148" s="27"/>
      <c r="K148" s="27"/>
      <c r="L148" s="27"/>
      <c r="M148" s="27"/>
      <c r="O148" s="27"/>
      <c r="P148" s="27"/>
      <c r="V148" s="13" t="s">
        <v>471</v>
      </c>
      <c r="W148" s="13" t="s">
        <v>472</v>
      </c>
      <c r="X148" s="13" t="s">
        <v>473</v>
      </c>
      <c r="Y148" s="13" t="s">
        <v>472</v>
      </c>
      <c r="Z148" s="13" t="s">
        <v>474</v>
      </c>
      <c r="AA148" s="13" t="b">
        <v>0</v>
      </c>
      <c r="AB148" s="13" t="b">
        <v>0</v>
      </c>
      <c r="AC148" s="13" t="b">
        <v>0</v>
      </c>
      <c r="AE148" s="27"/>
      <c r="AF148" s="27" t="str">
        <f>IFERROR(__xludf.DUMMYFUNCTION("""COMPUTED_VALUE"""),"ex:,thousands-sep,counter")</f>
        <v>ex:,thousands-sep,counter</v>
      </c>
      <c r="AG148" s="27"/>
      <c r="AH148" s="27"/>
      <c r="AI148" s="27"/>
    </row>
    <row r="149" hidden="1" outlineLevel="1">
      <c r="A149" s="27" t="s">
        <v>150</v>
      </c>
      <c r="B149" s="30" t="s">
        <v>475</v>
      </c>
      <c r="C149" s="27" t="s">
        <v>25</v>
      </c>
      <c r="D149" s="27" t="s">
        <v>476</v>
      </c>
      <c r="E149" s="27"/>
      <c r="F149" s="27"/>
      <c r="G149" s="27" t="s">
        <v>107</v>
      </c>
      <c r="H149" s="27"/>
      <c r="I149" s="27"/>
      <c r="J149" s="27"/>
      <c r="K149" s="27"/>
      <c r="L149" s="27"/>
      <c r="M149" s="27"/>
      <c r="O149" s="27"/>
      <c r="P149" s="27"/>
      <c r="V149" s="13" t="s">
        <v>477</v>
      </c>
      <c r="W149" s="13" t="s">
        <v>478</v>
      </c>
      <c r="X149" s="13" t="s">
        <v>479</v>
      </c>
      <c r="Y149" s="13" t="s">
        <v>478</v>
      </c>
      <c r="Z149" s="13" t="s">
        <v>480</v>
      </c>
      <c r="AA149" s="13" t="b">
        <v>0</v>
      </c>
      <c r="AB149" s="13" t="b">
        <v>0</v>
      </c>
      <c r="AC149" s="13" t="b">
        <v>0</v>
      </c>
      <c r="AE149" s="27"/>
      <c r="AF149" s="27" t="str">
        <f>IFERROR(__xludf.DUMMYFUNCTION("""COMPUTED_VALUE"""),"ex:,thousands-sep,counter")</f>
        <v>ex:,thousands-sep,counter</v>
      </c>
      <c r="AG149" s="27"/>
      <c r="AH149" s="27"/>
      <c r="AI149" s="27"/>
    </row>
    <row r="150" hidden="1" outlineLevel="1">
      <c r="A150" s="27" t="s">
        <v>150</v>
      </c>
      <c r="B150" s="30" t="s">
        <v>481</v>
      </c>
      <c r="C150" s="27" t="s">
        <v>26</v>
      </c>
      <c r="D150" s="27" t="s">
        <v>482</v>
      </c>
      <c r="E150" s="27"/>
      <c r="F150" s="27"/>
      <c r="G150" s="27" t="s">
        <v>107</v>
      </c>
      <c r="H150" s="27"/>
      <c r="I150" s="27"/>
      <c r="J150" s="27"/>
      <c r="K150" s="27"/>
      <c r="L150" s="27"/>
      <c r="M150" s="27"/>
      <c r="O150" s="27"/>
      <c r="P150" s="27"/>
      <c r="V150" s="13" t="s">
        <v>483</v>
      </c>
      <c r="W150" s="13" t="s">
        <v>484</v>
      </c>
      <c r="X150" s="13" t="s">
        <v>485</v>
      </c>
      <c r="Y150" s="13" t="s">
        <v>484</v>
      </c>
      <c r="Z150" s="13" t="s">
        <v>486</v>
      </c>
      <c r="AA150" s="13" t="b">
        <v>0</v>
      </c>
      <c r="AB150" s="13" t="b">
        <v>0</v>
      </c>
      <c r="AC150" s="13" t="b">
        <v>0</v>
      </c>
      <c r="AE150" s="27"/>
      <c r="AF150" s="27" t="str">
        <f>IFERROR(__xludf.DUMMYFUNCTION("""COMPUTED_VALUE"""),"ex:,thousands-sep,counter")</f>
        <v>ex:,thousands-sep,counter</v>
      </c>
      <c r="AG150" s="27"/>
      <c r="AH150" s="27"/>
      <c r="AI150" s="27"/>
    </row>
    <row r="151" hidden="1" outlineLevel="1">
      <c r="A151" s="27" t="s">
        <v>150</v>
      </c>
      <c r="B151" s="30" t="s">
        <v>487</v>
      </c>
      <c r="C151" s="27" t="s">
        <v>27</v>
      </c>
      <c r="D151" s="27" t="s">
        <v>488</v>
      </c>
      <c r="E151" s="27"/>
      <c r="F151" s="27"/>
      <c r="G151" s="27" t="s">
        <v>107</v>
      </c>
      <c r="H151" s="27"/>
      <c r="I151" s="27"/>
      <c r="J151" s="27"/>
      <c r="K151" s="27"/>
      <c r="L151" s="27"/>
      <c r="M151" s="27"/>
      <c r="O151" s="27"/>
      <c r="P151" s="27"/>
      <c r="V151" s="13" t="s">
        <v>489</v>
      </c>
      <c r="W151" s="13" t="s">
        <v>490</v>
      </c>
      <c r="X151" s="13" t="s">
        <v>491</v>
      </c>
      <c r="Y151" s="13" t="s">
        <v>490</v>
      </c>
      <c r="Z151" s="13" t="s">
        <v>492</v>
      </c>
      <c r="AA151" s="13" t="b">
        <v>0</v>
      </c>
      <c r="AB151" s="13" t="b">
        <v>0</v>
      </c>
      <c r="AC151" s="13" t="b">
        <v>0</v>
      </c>
      <c r="AE151" s="27"/>
      <c r="AF151" s="27" t="str">
        <f>IFERROR(__xludf.DUMMYFUNCTION("""COMPUTED_VALUE"""),"ex:,thousands-sep,counter")</f>
        <v>ex:,thousands-sep,counter</v>
      </c>
      <c r="AG151" s="27"/>
      <c r="AH151" s="27"/>
      <c r="AI151" s="27"/>
    </row>
    <row r="152" hidden="1" outlineLevel="1">
      <c r="A152" s="27" t="s">
        <v>150</v>
      </c>
      <c r="B152" s="30" t="s">
        <v>493</v>
      </c>
      <c r="C152" s="27" t="s">
        <v>31</v>
      </c>
      <c r="D152" s="27" t="s">
        <v>494</v>
      </c>
      <c r="E152" s="27"/>
      <c r="F152" s="27"/>
      <c r="G152" s="27" t="s">
        <v>107</v>
      </c>
      <c r="H152" s="27"/>
      <c r="I152" s="27"/>
      <c r="J152" s="27"/>
      <c r="K152" s="27"/>
      <c r="L152" s="27"/>
      <c r="M152" s="27"/>
      <c r="O152" s="27"/>
      <c r="P152" s="27"/>
      <c r="V152" s="13" t="s">
        <v>495</v>
      </c>
      <c r="W152" s="13" t="s">
        <v>496</v>
      </c>
      <c r="X152" s="13" t="s">
        <v>497</v>
      </c>
      <c r="Y152" s="13" t="s">
        <v>496</v>
      </c>
      <c r="Z152" s="13" t="s">
        <v>498</v>
      </c>
      <c r="AA152" s="13" t="b">
        <v>0</v>
      </c>
      <c r="AB152" s="13" t="b">
        <v>0</v>
      </c>
      <c r="AC152" s="13" t="b">
        <v>0</v>
      </c>
      <c r="AE152" s="27"/>
      <c r="AF152" s="27" t="str">
        <f>IFERROR(__xludf.DUMMYFUNCTION("""COMPUTED_VALUE"""),"ex:,thousands-sep,counter")</f>
        <v>ex:,thousands-sep,counter</v>
      </c>
      <c r="AG152" s="27"/>
      <c r="AH152" s="27"/>
      <c r="AI152" s="27"/>
    </row>
    <row r="153" hidden="1" outlineLevel="1">
      <c r="A153" s="27" t="s">
        <v>150</v>
      </c>
      <c r="B153" s="30" t="s">
        <v>499</v>
      </c>
      <c r="C153" s="27" t="s">
        <v>32</v>
      </c>
      <c r="D153" s="27" t="s">
        <v>500</v>
      </c>
      <c r="E153" s="27"/>
      <c r="F153" s="27"/>
      <c r="G153" s="27" t="s">
        <v>107</v>
      </c>
      <c r="H153" s="27"/>
      <c r="I153" s="27"/>
      <c r="J153" s="27"/>
      <c r="K153" s="27"/>
      <c r="L153" s="27"/>
      <c r="M153" s="27"/>
      <c r="O153" s="27"/>
      <c r="P153" s="27"/>
      <c r="V153" s="13" t="s">
        <v>501</v>
      </c>
      <c r="W153" s="13" t="s">
        <v>502</v>
      </c>
      <c r="X153" s="13" t="s">
        <v>503</v>
      </c>
      <c r="Y153" s="13" t="s">
        <v>502</v>
      </c>
      <c r="Z153" s="13" t="s">
        <v>504</v>
      </c>
      <c r="AA153" s="13" t="b">
        <v>0</v>
      </c>
      <c r="AB153" s="13" t="b">
        <v>0</v>
      </c>
      <c r="AC153" s="13" t="b">
        <v>0</v>
      </c>
      <c r="AE153" s="27"/>
      <c r="AF153" s="27" t="str">
        <f>IFERROR(__xludf.DUMMYFUNCTION("""COMPUTED_VALUE"""),"ex:,thousands-sep,counter")</f>
        <v>ex:,thousands-sep,counter</v>
      </c>
      <c r="AG153" s="27"/>
      <c r="AH153" s="27"/>
      <c r="AI153" s="27"/>
    </row>
    <row r="154" hidden="1" outlineLevel="1">
      <c r="A154" s="27" t="s">
        <v>150</v>
      </c>
      <c r="B154" s="30" t="s">
        <v>505</v>
      </c>
      <c r="C154" s="27" t="s">
        <v>29</v>
      </c>
      <c r="D154" s="27" t="s">
        <v>506</v>
      </c>
      <c r="E154" s="27"/>
      <c r="F154" s="27"/>
      <c r="G154" s="27" t="s">
        <v>107</v>
      </c>
      <c r="H154" s="27"/>
      <c r="I154" s="27"/>
      <c r="J154" s="27"/>
      <c r="K154" s="27"/>
      <c r="L154" s="27"/>
      <c r="M154" s="27"/>
      <c r="O154" s="27"/>
      <c r="P154" s="27"/>
      <c r="V154" s="13" t="s">
        <v>507</v>
      </c>
      <c r="W154" s="13" t="s">
        <v>508</v>
      </c>
      <c r="X154" s="13" t="s">
        <v>509</v>
      </c>
      <c r="Y154" s="13" t="s">
        <v>508</v>
      </c>
      <c r="Z154" s="13" t="s">
        <v>510</v>
      </c>
      <c r="AA154" s="13" t="b">
        <v>0</v>
      </c>
      <c r="AB154" s="13" t="b">
        <v>0</v>
      </c>
      <c r="AC154" s="13" t="b">
        <v>0</v>
      </c>
      <c r="AE154" s="27"/>
      <c r="AF154" s="27" t="str">
        <f>IFERROR(__xludf.DUMMYFUNCTION("""COMPUTED_VALUE"""),"ex:,thousands-sep,counter")</f>
        <v>ex:,thousands-sep,counter</v>
      </c>
      <c r="AG154" s="27"/>
      <c r="AH154" s="27"/>
      <c r="AI154" s="27"/>
    </row>
    <row r="155" hidden="1" outlineLevel="1">
      <c r="A155" s="27" t="s">
        <v>150</v>
      </c>
      <c r="B155" s="30" t="s">
        <v>511</v>
      </c>
      <c r="C155" s="27" t="s">
        <v>28</v>
      </c>
      <c r="D155" s="27" t="s">
        <v>512</v>
      </c>
      <c r="E155" s="27"/>
      <c r="F155" s="27"/>
      <c r="G155" s="27" t="s">
        <v>107</v>
      </c>
      <c r="H155" s="27"/>
      <c r="I155" s="27"/>
      <c r="J155" s="27"/>
      <c r="K155" s="27"/>
      <c r="L155" s="27"/>
      <c r="M155" s="27"/>
      <c r="O155" s="27"/>
      <c r="P155" s="27"/>
      <c r="V155" s="13" t="s">
        <v>513</v>
      </c>
      <c r="W155" s="13" t="s">
        <v>514</v>
      </c>
      <c r="X155" s="13" t="s">
        <v>515</v>
      </c>
      <c r="Y155" s="13" t="s">
        <v>514</v>
      </c>
      <c r="Z155" s="13" t="s">
        <v>516</v>
      </c>
      <c r="AA155" s="13" t="b">
        <v>0</v>
      </c>
      <c r="AB155" s="13" t="b">
        <v>0</v>
      </c>
      <c r="AC155" s="13" t="b">
        <v>0</v>
      </c>
      <c r="AE155" s="27"/>
      <c r="AF155" s="27" t="str">
        <f>IFERROR(__xludf.DUMMYFUNCTION("""COMPUTED_VALUE"""),"ex:,thousands-sep,counter")</f>
        <v>ex:,thousands-sep,counter</v>
      </c>
      <c r="AG155" s="27"/>
      <c r="AH155" s="27"/>
      <c r="AI155" s="27"/>
    </row>
    <row r="156" hidden="1" outlineLevel="1">
      <c r="A156" s="27" t="s">
        <v>150</v>
      </c>
      <c r="B156" s="30" t="s">
        <v>517</v>
      </c>
      <c r="C156" s="27" t="s">
        <v>30</v>
      </c>
      <c r="D156" s="27" t="s">
        <v>518</v>
      </c>
      <c r="E156" s="27"/>
      <c r="F156" s="27"/>
      <c r="G156" s="27" t="s">
        <v>107</v>
      </c>
      <c r="H156" s="27"/>
      <c r="I156" s="27"/>
      <c r="J156" s="27"/>
      <c r="K156" s="27"/>
      <c r="L156" s="27"/>
      <c r="M156" s="27"/>
      <c r="O156" s="27"/>
      <c r="P156" s="27"/>
      <c r="V156" s="13" t="s">
        <v>519</v>
      </c>
      <c r="W156" s="13" t="s">
        <v>520</v>
      </c>
      <c r="X156" s="13" t="s">
        <v>521</v>
      </c>
      <c r="Y156" s="13" t="s">
        <v>520</v>
      </c>
      <c r="Z156" s="13" t="s">
        <v>522</v>
      </c>
      <c r="AA156" s="13" t="b">
        <v>0</v>
      </c>
      <c r="AB156" s="13" t="b">
        <v>0</v>
      </c>
      <c r="AC156" s="13" t="b">
        <v>0</v>
      </c>
      <c r="AE156" s="27"/>
      <c r="AF156" s="27" t="str">
        <f>IFERROR(__xludf.DUMMYFUNCTION("""COMPUTED_VALUE"""),"ex:,thousands-sep,counter")</f>
        <v>ex:,thousands-sep,counter</v>
      </c>
      <c r="AG156" s="27"/>
      <c r="AH156" s="27"/>
      <c r="AI156" s="27"/>
    </row>
    <row r="157" hidden="1" outlineLevel="1">
      <c r="A157" s="27" t="s">
        <v>80</v>
      </c>
      <c r="B157" s="30" t="s">
        <v>523</v>
      </c>
      <c r="C157" s="27"/>
      <c r="D157" s="27"/>
      <c r="E157" s="27"/>
      <c r="F157" s="27" t="s">
        <v>524</v>
      </c>
      <c r="G157" s="27"/>
      <c r="H157" s="27"/>
      <c r="I157" s="27"/>
      <c r="J157" s="27"/>
      <c r="K157" s="27"/>
      <c r="L157" s="27"/>
      <c r="M157" s="27"/>
      <c r="O157" s="27"/>
      <c r="P157" s="27"/>
      <c r="X157" s="13" t="s">
        <v>45</v>
      </c>
      <c r="AA157" s="13" t="b">
        <v>0</v>
      </c>
      <c r="AB157" s="13" t="b">
        <v>0</v>
      </c>
      <c r="AC157" s="13" t="b">
        <v>0</v>
      </c>
      <c r="AE157" s="27"/>
      <c r="AF157" s="27" t="str">
        <f>IFERROR(__xludf.DUMMYFUNCTION("""COMPUTED_VALUE"""),"")</f>
        <v/>
      </c>
      <c r="AG157" s="27"/>
      <c r="AH157" s="27"/>
      <c r="AI157" s="27"/>
    </row>
    <row r="158" hidden="1" outlineLevel="1">
      <c r="A158" s="27" t="s">
        <v>76</v>
      </c>
      <c r="B158" s="30" t="s">
        <v>525</v>
      </c>
      <c r="C158" s="27" t="s">
        <v>526</v>
      </c>
      <c r="D158" s="27"/>
      <c r="E158" s="27"/>
      <c r="F158" s="27"/>
      <c r="G158" s="27"/>
      <c r="H158" s="27"/>
      <c r="I158" s="27"/>
      <c r="J158" s="27"/>
      <c r="K158" s="27"/>
      <c r="L158" s="27"/>
      <c r="M158" s="27"/>
      <c r="O158" s="27"/>
      <c r="P158" s="27"/>
      <c r="W158" s="13" t="s">
        <v>527</v>
      </c>
      <c r="X158" s="13" t="s">
        <v>528</v>
      </c>
      <c r="Y158" s="13" t="s">
        <v>527</v>
      </c>
      <c r="Z158" s="13" t="s">
        <v>529</v>
      </c>
      <c r="AA158" s="13" t="b">
        <v>0</v>
      </c>
      <c r="AB158" s="13" t="b">
        <v>0</v>
      </c>
      <c r="AC158" s="13" t="b">
        <v>0</v>
      </c>
      <c r="AE158" s="27"/>
      <c r="AF158" s="27" t="str">
        <f>IFERROR(__xludf.DUMMYFUNCTION("""COMPUTED_VALUE"""),"")</f>
        <v/>
      </c>
      <c r="AG158" s="27"/>
      <c r="AH158" s="27"/>
      <c r="AI158" s="27"/>
    </row>
    <row r="159" hidden="1" outlineLevel="1">
      <c r="A159" s="27"/>
      <c r="B159" s="30"/>
      <c r="C159" s="27"/>
      <c r="D159" s="27"/>
      <c r="E159" s="27"/>
      <c r="F159" s="27"/>
      <c r="G159" s="27"/>
      <c r="H159" s="27"/>
      <c r="I159" s="27"/>
      <c r="J159" s="27"/>
      <c r="K159" s="27"/>
      <c r="L159" s="27"/>
      <c r="M159" s="27"/>
      <c r="O159" s="27"/>
      <c r="P159" s="27"/>
      <c r="X159" s="13" t="s">
        <v>45</v>
      </c>
      <c r="AA159" s="13" t="b">
        <v>0</v>
      </c>
      <c r="AB159" s="13" t="b">
        <v>0</v>
      </c>
      <c r="AC159" s="13" t="b">
        <v>0</v>
      </c>
      <c r="AE159" s="27"/>
      <c r="AF159" s="27" t="str">
        <f>IFERROR(__xludf.DUMMYFUNCTION("""COMPUTED_VALUE"""),"")</f>
        <v/>
      </c>
      <c r="AG159" s="27"/>
      <c r="AH159" s="27"/>
      <c r="AI159" s="27"/>
    </row>
    <row r="160" hidden="1" outlineLevel="1">
      <c r="A160" s="27" t="s">
        <v>231</v>
      </c>
      <c r="B160" s="30" t="s">
        <v>530</v>
      </c>
      <c r="C160" s="27" t="s">
        <v>531</v>
      </c>
      <c r="D160" s="27" t="s">
        <v>470</v>
      </c>
      <c r="E160" s="27"/>
      <c r="F160" s="27"/>
      <c r="G160" s="27" t="s">
        <v>107</v>
      </c>
      <c r="H160" s="27"/>
      <c r="I160" s="27"/>
      <c r="J160" s="27"/>
      <c r="K160" s="27"/>
      <c r="L160" s="27" t="s">
        <v>236</v>
      </c>
      <c r="M160" s="27"/>
      <c r="O160" s="27"/>
      <c r="P160" s="27"/>
      <c r="V160" s="13" t="s">
        <v>310</v>
      </c>
      <c r="W160" s="13" t="s">
        <v>532</v>
      </c>
      <c r="X160" s="13" t="s">
        <v>533</v>
      </c>
      <c r="Y160" s="13" t="s">
        <v>532</v>
      </c>
      <c r="Z160" s="13" t="s">
        <v>534</v>
      </c>
      <c r="AA160" s="13" t="b">
        <v>0</v>
      </c>
      <c r="AB160" s="13" t="b">
        <v>0</v>
      </c>
      <c r="AC160" s="13" t="b">
        <v>0</v>
      </c>
      <c r="AE160" s="27"/>
      <c r="AF160" s="27" t="str">
        <f>IFERROR(__xludf.DUMMYFUNCTION("""COMPUTED_VALUE"""),"")</f>
        <v/>
      </c>
      <c r="AG160" s="27"/>
      <c r="AH160" s="27"/>
      <c r="AI160" s="27"/>
    </row>
    <row r="161" hidden="1" outlineLevel="1">
      <c r="A161" s="27" t="s">
        <v>231</v>
      </c>
      <c r="B161" s="30" t="s">
        <v>535</v>
      </c>
      <c r="C161" s="27" t="s">
        <v>536</v>
      </c>
      <c r="D161" s="27" t="s">
        <v>476</v>
      </c>
      <c r="E161" s="27"/>
      <c r="F161" s="27"/>
      <c r="G161" s="27" t="s">
        <v>107</v>
      </c>
      <c r="H161" s="27"/>
      <c r="I161" s="27"/>
      <c r="J161" s="27"/>
      <c r="K161" s="27"/>
      <c r="L161" s="27" t="s">
        <v>236</v>
      </c>
      <c r="M161" s="27"/>
      <c r="O161" s="27"/>
      <c r="P161" s="27"/>
      <c r="V161" s="13" t="s">
        <v>310</v>
      </c>
      <c r="W161" s="13" t="s">
        <v>537</v>
      </c>
      <c r="X161" s="13" t="s">
        <v>538</v>
      </c>
      <c r="Y161" s="13" t="s">
        <v>537</v>
      </c>
      <c r="Z161" s="13" t="s">
        <v>539</v>
      </c>
      <c r="AA161" s="13" t="b">
        <v>0</v>
      </c>
      <c r="AB161" s="13" t="b">
        <v>0</v>
      </c>
      <c r="AC161" s="13" t="b">
        <v>0</v>
      </c>
      <c r="AE161" s="27"/>
      <c r="AF161" s="27" t="str">
        <f>IFERROR(__xludf.DUMMYFUNCTION("""COMPUTED_VALUE"""),"")</f>
        <v/>
      </c>
      <c r="AG161" s="27"/>
      <c r="AH161" s="27"/>
      <c r="AI161" s="27"/>
    </row>
    <row r="162" hidden="1" outlineLevel="1">
      <c r="A162" s="27" t="s">
        <v>231</v>
      </c>
      <c r="B162" s="30" t="s">
        <v>540</v>
      </c>
      <c r="C162" s="27" t="s">
        <v>541</v>
      </c>
      <c r="D162" s="27" t="s">
        <v>482</v>
      </c>
      <c r="E162" s="27"/>
      <c r="F162" s="27"/>
      <c r="G162" s="27" t="s">
        <v>107</v>
      </c>
      <c r="H162" s="27"/>
      <c r="I162" s="27"/>
      <c r="J162" s="27"/>
      <c r="K162" s="27"/>
      <c r="L162" s="27" t="s">
        <v>236</v>
      </c>
      <c r="M162" s="27"/>
      <c r="O162" s="27"/>
      <c r="P162" s="27"/>
      <c r="V162" s="13" t="s">
        <v>310</v>
      </c>
      <c r="W162" s="13" t="s">
        <v>542</v>
      </c>
      <c r="X162" s="13" t="s">
        <v>543</v>
      </c>
      <c r="Y162" s="13" t="s">
        <v>542</v>
      </c>
      <c r="Z162" s="13" t="s">
        <v>544</v>
      </c>
      <c r="AA162" s="13" t="b">
        <v>0</v>
      </c>
      <c r="AB162" s="13" t="b">
        <v>0</v>
      </c>
      <c r="AC162" s="13" t="b">
        <v>0</v>
      </c>
      <c r="AE162" s="27"/>
      <c r="AF162" s="27" t="str">
        <f>IFERROR(__xludf.DUMMYFUNCTION("""COMPUTED_VALUE"""),"")</f>
        <v/>
      </c>
      <c r="AG162" s="27"/>
      <c r="AH162" s="27"/>
      <c r="AI162" s="27"/>
    </row>
    <row r="163" hidden="1" outlineLevel="1">
      <c r="A163" s="27" t="s">
        <v>231</v>
      </c>
      <c r="B163" s="30" t="s">
        <v>545</v>
      </c>
      <c r="C163" s="27" t="s">
        <v>546</v>
      </c>
      <c r="D163" s="27" t="s">
        <v>488</v>
      </c>
      <c r="E163" s="27"/>
      <c r="F163" s="27"/>
      <c r="G163" s="27" t="s">
        <v>107</v>
      </c>
      <c r="H163" s="27"/>
      <c r="I163" s="27"/>
      <c r="J163" s="27"/>
      <c r="K163" s="27"/>
      <c r="L163" s="27" t="s">
        <v>236</v>
      </c>
      <c r="M163" s="27"/>
      <c r="O163" s="27"/>
      <c r="P163" s="27"/>
      <c r="V163" s="13" t="s">
        <v>310</v>
      </c>
      <c r="W163" s="13" t="s">
        <v>547</v>
      </c>
      <c r="X163" s="13" t="s">
        <v>548</v>
      </c>
      <c r="Y163" s="13" t="s">
        <v>547</v>
      </c>
      <c r="Z163" s="13" t="s">
        <v>549</v>
      </c>
      <c r="AA163" s="13" t="b">
        <v>0</v>
      </c>
      <c r="AB163" s="13" t="b">
        <v>0</v>
      </c>
      <c r="AC163" s="13" t="b">
        <v>0</v>
      </c>
      <c r="AE163" s="27"/>
      <c r="AF163" s="27" t="str">
        <f>IFERROR(__xludf.DUMMYFUNCTION("""COMPUTED_VALUE"""),"")</f>
        <v/>
      </c>
      <c r="AG163" s="27"/>
      <c r="AH163" s="27"/>
      <c r="AI163" s="27"/>
    </row>
    <row r="164" hidden="1" outlineLevel="1">
      <c r="A164" s="27" t="s">
        <v>231</v>
      </c>
      <c r="B164" s="30" t="s">
        <v>550</v>
      </c>
      <c r="C164" s="27" t="s">
        <v>551</v>
      </c>
      <c r="D164" s="27" t="s">
        <v>494</v>
      </c>
      <c r="E164" s="27"/>
      <c r="F164" s="27"/>
      <c r="G164" s="27" t="s">
        <v>107</v>
      </c>
      <c r="H164" s="27"/>
      <c r="I164" s="27"/>
      <c r="J164" s="27"/>
      <c r="K164" s="27"/>
      <c r="L164" s="27" t="s">
        <v>236</v>
      </c>
      <c r="M164" s="27"/>
      <c r="O164" s="27"/>
      <c r="P164" s="27"/>
      <c r="V164" s="13" t="s">
        <v>310</v>
      </c>
      <c r="W164" s="13" t="s">
        <v>552</v>
      </c>
      <c r="X164" s="13" t="s">
        <v>553</v>
      </c>
      <c r="Y164" s="13" t="s">
        <v>552</v>
      </c>
      <c r="Z164" s="13" t="s">
        <v>554</v>
      </c>
      <c r="AA164" s="13" t="b">
        <v>0</v>
      </c>
      <c r="AB164" s="13" t="b">
        <v>0</v>
      </c>
      <c r="AC164" s="13" t="b">
        <v>0</v>
      </c>
      <c r="AE164" s="27"/>
      <c r="AF164" s="27" t="str">
        <f>IFERROR(__xludf.DUMMYFUNCTION("""COMPUTED_VALUE"""),"")</f>
        <v/>
      </c>
      <c r="AG164" s="27"/>
      <c r="AH164" s="27"/>
      <c r="AI164" s="27"/>
    </row>
    <row r="165" hidden="1" outlineLevel="1">
      <c r="A165" s="27" t="s">
        <v>231</v>
      </c>
      <c r="B165" s="30" t="s">
        <v>555</v>
      </c>
      <c r="C165" s="27" t="s">
        <v>556</v>
      </c>
      <c r="D165" s="27" t="s">
        <v>500</v>
      </c>
      <c r="E165" s="27"/>
      <c r="F165" s="27"/>
      <c r="G165" s="27" t="s">
        <v>107</v>
      </c>
      <c r="H165" s="27"/>
      <c r="I165" s="27"/>
      <c r="J165" s="27"/>
      <c r="K165" s="27"/>
      <c r="L165" s="27" t="s">
        <v>236</v>
      </c>
      <c r="M165" s="27"/>
      <c r="O165" s="27"/>
      <c r="P165" s="27"/>
      <c r="V165" s="13" t="s">
        <v>310</v>
      </c>
      <c r="W165" s="13" t="s">
        <v>557</v>
      </c>
      <c r="X165" s="13" t="s">
        <v>558</v>
      </c>
      <c r="Y165" s="13" t="s">
        <v>557</v>
      </c>
      <c r="Z165" s="13" t="s">
        <v>559</v>
      </c>
      <c r="AA165" s="13" t="b">
        <v>0</v>
      </c>
      <c r="AB165" s="13" t="b">
        <v>0</v>
      </c>
      <c r="AC165" s="13" t="b">
        <v>0</v>
      </c>
      <c r="AE165" s="27"/>
      <c r="AF165" s="27" t="str">
        <f>IFERROR(__xludf.DUMMYFUNCTION("""COMPUTED_VALUE"""),"")</f>
        <v/>
      </c>
      <c r="AG165" s="27"/>
      <c r="AH165" s="27"/>
      <c r="AI165" s="27"/>
    </row>
    <row r="166" hidden="1" outlineLevel="1">
      <c r="A166" s="27" t="s">
        <v>231</v>
      </c>
      <c r="B166" s="30" t="s">
        <v>560</v>
      </c>
      <c r="C166" s="27" t="s">
        <v>561</v>
      </c>
      <c r="D166" s="27" t="s">
        <v>506</v>
      </c>
      <c r="E166" s="27"/>
      <c r="F166" s="27"/>
      <c r="G166" s="27" t="s">
        <v>107</v>
      </c>
      <c r="H166" s="27"/>
      <c r="I166" s="27"/>
      <c r="J166" s="27"/>
      <c r="K166" s="27"/>
      <c r="L166" s="27" t="s">
        <v>236</v>
      </c>
      <c r="M166" s="27"/>
      <c r="O166" s="27"/>
      <c r="P166" s="27"/>
      <c r="V166" s="13" t="s">
        <v>310</v>
      </c>
      <c r="W166" s="13" t="s">
        <v>562</v>
      </c>
      <c r="X166" s="13" t="s">
        <v>563</v>
      </c>
      <c r="Y166" s="13" t="s">
        <v>562</v>
      </c>
      <c r="Z166" s="13" t="s">
        <v>564</v>
      </c>
      <c r="AA166" s="13" t="b">
        <v>0</v>
      </c>
      <c r="AB166" s="13" t="b">
        <v>0</v>
      </c>
      <c r="AC166" s="13" t="b">
        <v>0</v>
      </c>
      <c r="AE166" s="27"/>
      <c r="AF166" s="27" t="str">
        <f>IFERROR(__xludf.DUMMYFUNCTION("""COMPUTED_VALUE"""),"")</f>
        <v/>
      </c>
      <c r="AG166" s="27"/>
      <c r="AH166" s="27"/>
      <c r="AI166" s="27"/>
    </row>
    <row r="167" hidden="1" outlineLevel="1">
      <c r="A167" s="27" t="s">
        <v>231</v>
      </c>
      <c r="B167" s="30" t="s">
        <v>565</v>
      </c>
      <c r="C167" s="27" t="s">
        <v>566</v>
      </c>
      <c r="D167" s="27" t="s">
        <v>512</v>
      </c>
      <c r="E167" s="27"/>
      <c r="F167" s="27"/>
      <c r="G167" s="27" t="s">
        <v>107</v>
      </c>
      <c r="H167" s="27"/>
      <c r="I167" s="27"/>
      <c r="J167" s="27"/>
      <c r="K167" s="27"/>
      <c r="L167" s="27" t="s">
        <v>236</v>
      </c>
      <c r="M167" s="27"/>
      <c r="O167" s="27"/>
      <c r="P167" s="27"/>
      <c r="V167" s="13" t="s">
        <v>310</v>
      </c>
      <c r="W167" s="13" t="s">
        <v>567</v>
      </c>
      <c r="X167" s="13" t="s">
        <v>568</v>
      </c>
      <c r="Y167" s="13" t="s">
        <v>567</v>
      </c>
      <c r="Z167" s="13" t="s">
        <v>569</v>
      </c>
      <c r="AA167" s="13" t="b">
        <v>0</v>
      </c>
      <c r="AB167" s="13" t="b">
        <v>0</v>
      </c>
      <c r="AC167" s="13" t="b">
        <v>0</v>
      </c>
      <c r="AE167" s="27"/>
      <c r="AF167" s="27" t="str">
        <f>IFERROR(__xludf.DUMMYFUNCTION("""COMPUTED_VALUE"""),"")</f>
        <v/>
      </c>
      <c r="AG167" s="27"/>
      <c r="AH167" s="27"/>
      <c r="AI167" s="27"/>
    </row>
    <row r="168" hidden="1" outlineLevel="1">
      <c r="A168" s="27" t="s">
        <v>231</v>
      </c>
      <c r="B168" s="30" t="s">
        <v>570</v>
      </c>
      <c r="C168" s="27" t="s">
        <v>571</v>
      </c>
      <c r="D168" s="27" t="s">
        <v>518</v>
      </c>
      <c r="E168" s="27"/>
      <c r="F168" s="27"/>
      <c r="G168" s="27" t="s">
        <v>107</v>
      </c>
      <c r="H168" s="27"/>
      <c r="I168" s="27"/>
      <c r="J168" s="27"/>
      <c r="K168" s="27"/>
      <c r="L168" s="27" t="s">
        <v>236</v>
      </c>
      <c r="M168" s="27"/>
      <c r="O168" s="27"/>
      <c r="P168" s="27"/>
      <c r="V168" s="13" t="s">
        <v>310</v>
      </c>
      <c r="W168" s="13" t="s">
        <v>572</v>
      </c>
      <c r="X168" s="13" t="s">
        <v>573</v>
      </c>
      <c r="Y168" s="13" t="s">
        <v>572</v>
      </c>
      <c r="Z168" s="13" t="s">
        <v>574</v>
      </c>
      <c r="AA168" s="13" t="b">
        <v>0</v>
      </c>
      <c r="AB168" s="13" t="b">
        <v>0</v>
      </c>
      <c r="AC168" s="13" t="b">
        <v>0</v>
      </c>
      <c r="AE168" s="27"/>
      <c r="AF168" s="27" t="str">
        <f>IFERROR(__xludf.DUMMYFUNCTION("""COMPUTED_VALUE"""),"")</f>
        <v/>
      </c>
      <c r="AG168" s="27"/>
      <c r="AH168" s="27"/>
      <c r="AI168" s="27"/>
    </row>
    <row r="169">
      <c r="A169" s="27" t="s">
        <v>283</v>
      </c>
      <c r="B169" s="30"/>
      <c r="C169" s="27"/>
      <c r="D169" s="27"/>
      <c r="E169" s="27"/>
      <c r="F169" s="27"/>
      <c r="G169" s="27"/>
      <c r="H169" s="27"/>
      <c r="I169" s="27"/>
      <c r="J169" s="27"/>
      <c r="K169" s="27"/>
      <c r="L169" s="27"/>
      <c r="M169" s="27"/>
      <c r="N169" s="13"/>
      <c r="O169" s="27"/>
      <c r="P169" s="27"/>
      <c r="Q169" s="13"/>
      <c r="R169" s="13"/>
      <c r="S169" s="13"/>
      <c r="T169" s="13"/>
      <c r="U169" s="13"/>
      <c r="V169" s="13"/>
      <c r="W169" s="13"/>
      <c r="X169" s="13" t="s">
        <v>45</v>
      </c>
      <c r="Y169" s="13"/>
      <c r="Z169" s="13"/>
      <c r="AA169" s="13" t="b">
        <v>0</v>
      </c>
      <c r="AB169" s="13" t="b">
        <v>0</v>
      </c>
      <c r="AC169" s="13" t="b">
        <v>0</v>
      </c>
      <c r="AD169" s="13"/>
      <c r="AE169" s="27"/>
      <c r="AF169" s="27" t="str">
        <f>IFERROR(__xludf.DUMMYFUNCTION("""COMPUTED_VALUE"""),"")</f>
        <v/>
      </c>
      <c r="AG169" s="27"/>
      <c r="AH169" s="27"/>
      <c r="AI169" s="27"/>
    </row>
    <row r="170">
      <c r="A170" s="27" t="s">
        <v>350</v>
      </c>
      <c r="B170" s="30" t="s">
        <v>575</v>
      </c>
      <c r="C170" s="27" t="s">
        <v>576</v>
      </c>
      <c r="D170" s="27" t="s">
        <v>119</v>
      </c>
      <c r="E170" s="27" t="s">
        <v>116</v>
      </c>
      <c r="F170" s="27"/>
      <c r="G170" s="27"/>
      <c r="H170" s="27"/>
      <c r="I170" s="27"/>
      <c r="J170" s="27"/>
      <c r="K170" s="27"/>
      <c r="L170" s="27"/>
      <c r="M170" s="27"/>
      <c r="N170" s="13"/>
      <c r="O170" s="35" t="s">
        <v>577</v>
      </c>
      <c r="P170" s="27"/>
      <c r="Q170" s="13"/>
      <c r="R170" s="13"/>
      <c r="S170" s="13"/>
      <c r="T170" s="13"/>
      <c r="U170" s="13"/>
      <c r="V170" s="13"/>
      <c r="W170" s="13"/>
      <c r="X170" s="13" t="s">
        <v>578</v>
      </c>
      <c r="Y170" s="13"/>
      <c r="Z170" s="13" t="s">
        <v>579</v>
      </c>
      <c r="AA170" s="13" t="b">
        <v>0</v>
      </c>
      <c r="AB170" s="13" t="b">
        <v>0</v>
      </c>
      <c r="AC170" s="13" t="b">
        <v>0</v>
      </c>
      <c r="AD170" s="13"/>
      <c r="AE170" s="27"/>
      <c r="AF170" s="27" t="str">
        <f>IFERROR(__xludf.DUMMYFUNCTION("""COMPUTED_VALUE"""),"")</f>
        <v/>
      </c>
      <c r="AG170" s="27"/>
      <c r="AH170" s="27"/>
      <c r="AI170" s="27"/>
    </row>
    <row r="171" outlineLevel="1">
      <c r="A171" s="27" t="s">
        <v>123</v>
      </c>
      <c r="B171" s="30" t="s">
        <v>580</v>
      </c>
      <c r="C171" s="27" t="s">
        <v>21</v>
      </c>
      <c r="D171" s="27"/>
      <c r="E171" s="27"/>
      <c r="F171" s="27"/>
      <c r="G171" s="27"/>
      <c r="H171" s="26" t="s">
        <v>581</v>
      </c>
      <c r="I171" s="27"/>
      <c r="J171" s="27"/>
      <c r="K171" s="27"/>
      <c r="L171" s="27"/>
      <c r="M171" s="27"/>
      <c r="O171" s="27"/>
      <c r="P171" s="27"/>
      <c r="V171" s="13" t="s">
        <v>582</v>
      </c>
      <c r="W171" s="13" t="s">
        <v>583</v>
      </c>
      <c r="X171" s="13" t="s">
        <v>584</v>
      </c>
      <c r="Y171" s="13" t="s">
        <v>583</v>
      </c>
      <c r="Z171" s="13" t="s">
        <v>585</v>
      </c>
      <c r="AA171" s="13" t="b">
        <v>0</v>
      </c>
      <c r="AB171" s="13" t="b">
        <v>0</v>
      </c>
      <c r="AC171" s="13" t="b">
        <v>0</v>
      </c>
      <c r="AE171" s="27"/>
      <c r="AF171" s="27" t="str">
        <f>IFERROR(__xludf.DUMMYFUNCTION("""COMPUTED_VALUE"""),"")</f>
        <v/>
      </c>
      <c r="AG171" s="27"/>
      <c r="AH171" s="27"/>
      <c r="AI171" s="27"/>
    </row>
    <row r="172" outlineLevel="1">
      <c r="A172" s="27" t="s">
        <v>80</v>
      </c>
      <c r="B172" s="30" t="s">
        <v>586</v>
      </c>
      <c r="C172" s="27"/>
      <c r="D172" s="27"/>
      <c r="E172" s="27"/>
      <c r="F172" s="27" t="s">
        <v>587</v>
      </c>
      <c r="G172" s="27"/>
      <c r="H172" s="27"/>
      <c r="I172" s="27"/>
      <c r="J172" s="27"/>
      <c r="K172" s="27"/>
      <c r="L172" s="27"/>
      <c r="M172" s="27"/>
      <c r="O172" s="27"/>
      <c r="P172" s="27"/>
      <c r="X172" s="13" t="s">
        <v>45</v>
      </c>
      <c r="AA172" s="13" t="b">
        <v>0</v>
      </c>
      <c r="AB172" s="13" t="b">
        <v>0</v>
      </c>
      <c r="AC172" s="13" t="b">
        <v>0</v>
      </c>
      <c r="AE172" s="27"/>
      <c r="AF172" s="27" t="str">
        <f>IFERROR(__xludf.DUMMYFUNCTION("""COMPUTED_VALUE"""),"")</f>
        <v/>
      </c>
      <c r="AG172" s="27"/>
      <c r="AH172" s="27"/>
      <c r="AI172" s="27"/>
    </row>
    <row r="173" outlineLevel="1">
      <c r="A173" s="27" t="s">
        <v>170</v>
      </c>
      <c r="B173" s="30" t="s">
        <v>588</v>
      </c>
      <c r="C173" s="27" t="s">
        <v>589</v>
      </c>
      <c r="D173" s="27" t="s">
        <v>590</v>
      </c>
      <c r="E173" s="27"/>
      <c r="F173" s="27"/>
      <c r="G173" s="27" t="s">
        <v>107</v>
      </c>
      <c r="H173" s="27"/>
      <c r="I173" s="27"/>
      <c r="J173" s="27"/>
      <c r="K173" s="27"/>
      <c r="L173" s="27"/>
      <c r="M173" s="27"/>
      <c r="O173" s="27"/>
      <c r="P173" s="27"/>
      <c r="W173" s="13" t="s">
        <v>591</v>
      </c>
      <c r="X173" s="13" t="s">
        <v>131</v>
      </c>
      <c r="Y173" s="13" t="s">
        <v>591</v>
      </c>
      <c r="Z173" s="13" t="s">
        <v>133</v>
      </c>
      <c r="AA173" s="13" t="b">
        <v>0</v>
      </c>
      <c r="AB173" s="13" t="b">
        <v>0</v>
      </c>
      <c r="AC173" s="13" t="b">
        <v>0</v>
      </c>
      <c r="AE173" s="27"/>
      <c r="AF173" s="27" t="str">
        <f>IFERROR(__xludf.DUMMYFUNCTION("""COMPUTED_VALUE"""),"numbers,multiline,url,ex:,thousands-sep")</f>
        <v>numbers,multiline,url,ex:,thousands-sep</v>
      </c>
      <c r="AG173" s="27"/>
      <c r="AH173" s="27"/>
      <c r="AI173" s="27"/>
    </row>
    <row r="174" outlineLevel="1">
      <c r="A174" s="27" t="s">
        <v>80</v>
      </c>
      <c r="B174" s="30" t="s">
        <v>592</v>
      </c>
      <c r="C174" s="27"/>
      <c r="D174" s="27"/>
      <c r="E174" s="27"/>
      <c r="F174" s="27" t="s">
        <v>593</v>
      </c>
      <c r="G174" s="27"/>
      <c r="H174" s="27"/>
      <c r="I174" s="27"/>
      <c r="J174" s="27"/>
      <c r="K174" s="27"/>
      <c r="L174" s="27"/>
      <c r="M174" s="27"/>
      <c r="O174" s="27"/>
      <c r="P174" s="27"/>
      <c r="X174" s="13" t="s">
        <v>45</v>
      </c>
      <c r="AA174" s="13" t="b">
        <v>0</v>
      </c>
      <c r="AB174" s="13" t="b">
        <v>0</v>
      </c>
      <c r="AC174" s="13" t="b">
        <v>0</v>
      </c>
      <c r="AE174" s="27"/>
      <c r="AF174" s="27" t="str">
        <f>IFERROR(__xludf.DUMMYFUNCTION("""COMPUTED_VALUE"""),"")</f>
        <v/>
      </c>
      <c r="AG174" s="27"/>
      <c r="AH174" s="27"/>
      <c r="AI174" s="27"/>
    </row>
    <row r="175" outlineLevel="1">
      <c r="A175" s="27" t="s">
        <v>76</v>
      </c>
      <c r="B175" s="30" t="s">
        <v>594</v>
      </c>
      <c r="C175" s="27" t="s">
        <v>595</v>
      </c>
      <c r="D175" s="27" t="s">
        <v>590</v>
      </c>
      <c r="E175" s="27"/>
      <c r="F175" s="27"/>
      <c r="G175" s="27"/>
      <c r="H175" s="27"/>
      <c r="I175" s="27"/>
      <c r="J175" s="27"/>
      <c r="K175" s="27"/>
      <c r="L175" s="27"/>
      <c r="M175" s="27"/>
      <c r="O175" s="27"/>
      <c r="P175" s="27"/>
      <c r="X175" s="13" t="s">
        <v>45</v>
      </c>
      <c r="AA175" s="13" t="b">
        <v>0</v>
      </c>
      <c r="AB175" s="13" t="b">
        <v>0</v>
      </c>
      <c r="AC175" s="13" t="b">
        <v>0</v>
      </c>
      <c r="AE175" s="27"/>
      <c r="AF175" s="27" t="str">
        <f>IFERROR(__xludf.DUMMYFUNCTION("""COMPUTED_VALUE"""),"")</f>
        <v/>
      </c>
      <c r="AG175" s="27"/>
      <c r="AH175" s="27"/>
      <c r="AI175" s="27"/>
    </row>
    <row r="176" outlineLevel="1">
      <c r="A176" s="27" t="s">
        <v>324</v>
      </c>
      <c r="B176" s="30" t="s">
        <v>596</v>
      </c>
      <c r="C176" s="27" t="s">
        <v>597</v>
      </c>
      <c r="D176" s="27" t="s">
        <v>598</v>
      </c>
      <c r="E176" s="27"/>
      <c r="F176" s="27"/>
      <c r="G176" s="27"/>
      <c r="H176" s="27"/>
      <c r="I176" s="27"/>
      <c r="J176" s="27" t="s">
        <v>599</v>
      </c>
      <c r="K176" s="27"/>
      <c r="L176" s="27"/>
      <c r="M176" s="27"/>
      <c r="O176" s="27"/>
      <c r="P176" s="27"/>
      <c r="X176" s="13" t="s">
        <v>600</v>
      </c>
      <c r="Z176" s="13" t="s">
        <v>601</v>
      </c>
      <c r="AA176" s="13" t="b">
        <v>0</v>
      </c>
      <c r="AB176" s="13" t="b">
        <v>0</v>
      </c>
      <c r="AC176" s="13" t="b">
        <v>0</v>
      </c>
      <c r="AE176" s="27"/>
      <c r="AF176" s="27" t="str">
        <f>IFERROR(__xludf.DUMMYFUNCTION("""COMPUTED_VALUE"""),"quick,likert,map,minimal,search,columns-pack,columns,columns-n,no-buttons,image-map,label,list-nolabel,list")</f>
        <v>quick,likert,map,minimal,search,columns-pack,columns,columns-n,no-buttons,image-map,label,list-nolabel,list</v>
      </c>
      <c r="AG176" s="27"/>
      <c r="AH176" s="27"/>
      <c r="AI176" s="27"/>
    </row>
    <row r="177" outlineLevel="1">
      <c r="A177" s="27" t="s">
        <v>602</v>
      </c>
      <c r="B177" s="30" t="s">
        <v>603</v>
      </c>
      <c r="C177" s="27" t="s">
        <v>41</v>
      </c>
      <c r="D177" s="26" t="s">
        <v>604</v>
      </c>
      <c r="E177" s="27" t="s">
        <v>605</v>
      </c>
      <c r="F177" s="27"/>
      <c r="G177" s="27" t="s">
        <v>107</v>
      </c>
      <c r="H177" s="27"/>
      <c r="I177" s="27"/>
      <c r="J177" s="27"/>
      <c r="K177" s="27"/>
      <c r="L177" s="27"/>
      <c r="M177" s="27"/>
      <c r="O177" s="27"/>
      <c r="P177" s="27"/>
      <c r="V177" s="13" t="s">
        <v>606</v>
      </c>
      <c r="X177" s="13" t="s">
        <v>607</v>
      </c>
      <c r="Z177" s="13" t="s">
        <v>608</v>
      </c>
      <c r="AA177" s="13" t="b">
        <v>0</v>
      </c>
      <c r="AB177" s="13" t="b">
        <v>0</v>
      </c>
      <c r="AC177" s="13" t="b">
        <v>0</v>
      </c>
      <c r="AE177" s="27"/>
      <c r="AF177" s="27" t="str">
        <f>IFERROR(__xludf.DUMMYFUNCTION("""COMPUTED_VALUE"""),"quick,likert,map,minimal,search,columns-pack,columns,columns-n,no-buttons,image-map,label,list-nolabel,list")</f>
        <v>quick,likert,map,minimal,search,columns-pack,columns,columns-n,no-buttons,image-map,label,list-nolabel,list</v>
      </c>
      <c r="AG177" s="27"/>
      <c r="AH177" s="27"/>
      <c r="AI177" s="27"/>
    </row>
    <row r="178" outlineLevel="1">
      <c r="A178" s="26" t="s">
        <v>80</v>
      </c>
      <c r="B178" s="31" t="s">
        <v>609</v>
      </c>
      <c r="C178" s="27"/>
      <c r="D178" s="27"/>
      <c r="E178" s="27"/>
      <c r="F178" s="26" t="s">
        <v>82</v>
      </c>
      <c r="G178" s="27"/>
      <c r="H178" s="27"/>
      <c r="I178" s="27"/>
      <c r="J178" s="27"/>
      <c r="K178" s="27"/>
      <c r="L178" s="27"/>
      <c r="M178" s="27"/>
      <c r="O178" s="27"/>
      <c r="P178" s="27"/>
      <c r="AA178" s="13" t="b">
        <v>0</v>
      </c>
      <c r="AB178" s="13" t="b">
        <v>0</v>
      </c>
      <c r="AC178" s="13" t="b">
        <v>0</v>
      </c>
      <c r="AE178" s="27"/>
      <c r="AF178" s="27" t="str">
        <f>IFERROR(__xludf.DUMMYFUNCTION("""COMPUTED_VALUE"""),"")</f>
        <v/>
      </c>
      <c r="AG178" s="27"/>
      <c r="AH178" s="27"/>
      <c r="AI178" s="27"/>
    </row>
    <row r="179" outlineLevel="1">
      <c r="A179" s="26" t="s">
        <v>80</v>
      </c>
      <c r="B179" s="31" t="s">
        <v>610</v>
      </c>
      <c r="C179" s="27"/>
      <c r="D179" s="27"/>
      <c r="E179" s="27"/>
      <c r="F179" s="26" t="s">
        <v>611</v>
      </c>
      <c r="G179" s="27"/>
      <c r="H179" s="27"/>
      <c r="I179" s="27"/>
      <c r="J179" s="27"/>
      <c r="K179" s="27"/>
      <c r="L179" s="27"/>
      <c r="M179" s="27"/>
      <c r="O179" s="27"/>
      <c r="P179" s="27"/>
      <c r="AA179" s="13" t="b">
        <v>0</v>
      </c>
      <c r="AB179" s="13" t="b">
        <v>0</v>
      </c>
      <c r="AC179" s="13" t="b">
        <v>0</v>
      </c>
      <c r="AE179" s="27"/>
      <c r="AF179" s="27" t="str">
        <f>IFERROR(__xludf.DUMMYFUNCTION("""COMPUTED_VALUE"""),"")</f>
        <v/>
      </c>
      <c r="AG179" s="27"/>
      <c r="AH179" s="27"/>
      <c r="AI179" s="27"/>
    </row>
    <row r="180" outlineLevel="1">
      <c r="A180" s="26" t="s">
        <v>76</v>
      </c>
      <c r="B180" s="31" t="s">
        <v>612</v>
      </c>
      <c r="C180" s="26" t="s">
        <v>613</v>
      </c>
      <c r="D180" s="27"/>
      <c r="E180" s="27"/>
      <c r="F180" s="27"/>
      <c r="G180" s="27"/>
      <c r="H180" s="27"/>
      <c r="I180" s="27"/>
      <c r="J180" s="27"/>
      <c r="K180" s="27"/>
      <c r="L180" s="27"/>
      <c r="M180" s="27"/>
      <c r="O180" s="27"/>
      <c r="P180" s="27"/>
      <c r="AA180" s="13" t="b">
        <v>0</v>
      </c>
      <c r="AB180" s="13" t="b">
        <v>0</v>
      </c>
      <c r="AC180" s="13" t="b">
        <v>0</v>
      </c>
      <c r="AE180" s="27"/>
      <c r="AF180" s="27" t="str">
        <f>IFERROR(__xludf.DUMMYFUNCTION("""COMPUTED_VALUE"""),"")</f>
        <v/>
      </c>
      <c r="AG180" s="27"/>
      <c r="AH180" s="27"/>
      <c r="AI180" s="27"/>
    </row>
    <row r="181" outlineLevel="1">
      <c r="A181" s="27" t="s">
        <v>614</v>
      </c>
      <c r="B181" s="30" t="s">
        <v>615</v>
      </c>
      <c r="C181" s="26" t="s">
        <v>38</v>
      </c>
      <c r="D181" s="27" t="s">
        <v>616</v>
      </c>
      <c r="E181" s="27" t="s">
        <v>462</v>
      </c>
      <c r="F181" s="27"/>
      <c r="G181" s="27" t="s">
        <v>107</v>
      </c>
      <c r="H181" s="27"/>
      <c r="I181" s="27"/>
      <c r="J181" s="27" t="s">
        <v>617</v>
      </c>
      <c r="K181" s="27"/>
      <c r="L181" s="27"/>
      <c r="M181" s="27"/>
      <c r="O181" s="27"/>
      <c r="P181" s="27"/>
      <c r="V181" s="13" t="s">
        <v>618</v>
      </c>
      <c r="W181" s="13" t="s">
        <v>619</v>
      </c>
      <c r="X181" s="13" t="s">
        <v>584</v>
      </c>
      <c r="Y181" s="13" t="s">
        <v>619</v>
      </c>
      <c r="Z181" s="13" t="s">
        <v>585</v>
      </c>
      <c r="AA181" s="13" t="b">
        <v>1</v>
      </c>
      <c r="AB181" s="13" t="b">
        <v>0</v>
      </c>
      <c r="AC181" s="13" t="b">
        <v>0</v>
      </c>
      <c r="AE181" s="27"/>
      <c r="AF181" s="27" t="str">
        <f>IFERROR(__xludf.DUMMYFUNCTION("""COMPUTED_VALUE"""),"quick,likert,map,minimal,search,columns-pack,columns,columns-n,no-buttons,image-map,label,list-nolabel,list")</f>
        <v>quick,likert,map,minimal,search,columns-pack,columns,columns-n,no-buttons,image-map,label,list-nolabel,list</v>
      </c>
      <c r="AG181" s="27"/>
      <c r="AH181" s="27"/>
      <c r="AI181" s="27"/>
    </row>
    <row r="182" outlineLevel="1">
      <c r="A182" s="26" t="s">
        <v>80</v>
      </c>
      <c r="B182" s="31" t="s">
        <v>620</v>
      </c>
      <c r="C182" s="27"/>
      <c r="D182" s="27"/>
      <c r="E182" s="27"/>
      <c r="F182" s="32" t="s">
        <v>621</v>
      </c>
      <c r="G182" s="27"/>
      <c r="H182" s="27"/>
      <c r="I182" s="27"/>
      <c r="J182" s="27"/>
      <c r="K182" s="27"/>
      <c r="L182" s="27"/>
      <c r="M182" s="27"/>
      <c r="O182" s="27"/>
      <c r="P182" s="27"/>
      <c r="AA182" s="13" t="b">
        <v>0</v>
      </c>
      <c r="AB182" s="13" t="b">
        <v>0</v>
      </c>
      <c r="AC182" s="13" t="b">
        <v>0</v>
      </c>
      <c r="AE182" s="27"/>
      <c r="AF182" s="27" t="str">
        <f>IFERROR(__xludf.DUMMYFUNCTION("""COMPUTED_VALUE"""),"")</f>
        <v/>
      </c>
      <c r="AG182" s="27"/>
      <c r="AH182" s="27"/>
      <c r="AI182" s="27"/>
    </row>
    <row r="183" outlineLevel="1">
      <c r="A183" s="27" t="s">
        <v>113</v>
      </c>
      <c r="B183" s="30" t="s">
        <v>622</v>
      </c>
      <c r="C183" s="27"/>
      <c r="D183" s="27" t="s">
        <v>616</v>
      </c>
      <c r="E183" s="27"/>
      <c r="F183" s="27"/>
      <c r="G183" s="27"/>
      <c r="H183" s="27"/>
      <c r="I183" s="27"/>
      <c r="J183" s="27"/>
      <c r="K183" s="27"/>
      <c r="L183" s="27"/>
      <c r="M183" s="27"/>
      <c r="N183" s="13"/>
      <c r="O183" s="27"/>
      <c r="P183" s="27"/>
      <c r="Q183" s="13"/>
      <c r="R183" s="13"/>
      <c r="S183" s="13"/>
      <c r="T183" s="13"/>
      <c r="U183" s="13"/>
      <c r="V183" s="13"/>
      <c r="W183" s="13"/>
      <c r="X183" s="13" t="s">
        <v>45</v>
      </c>
      <c r="Y183" s="13"/>
      <c r="Z183" s="13"/>
      <c r="AA183" s="13" t="b">
        <v>1</v>
      </c>
      <c r="AB183" s="13" t="b">
        <v>0</v>
      </c>
      <c r="AC183" s="13" t="b">
        <v>0</v>
      </c>
      <c r="AD183" s="13"/>
      <c r="AE183" s="27"/>
      <c r="AF183" s="27" t="str">
        <f>IFERROR(__xludf.DUMMYFUNCTION("""COMPUTED_VALUE"""),"")</f>
        <v/>
      </c>
      <c r="AG183" s="27"/>
      <c r="AH183" s="27"/>
      <c r="AI183" s="27"/>
    </row>
    <row r="184" outlineLevel="2">
      <c r="A184" s="26" t="s">
        <v>80</v>
      </c>
      <c r="B184" s="36" t="s">
        <v>623</v>
      </c>
      <c r="C184" s="27"/>
      <c r="D184" s="27"/>
      <c r="E184" s="27"/>
      <c r="F184" s="26" t="s">
        <v>624</v>
      </c>
      <c r="G184" s="27"/>
      <c r="H184" s="27"/>
      <c r="I184" s="27"/>
      <c r="J184" s="26"/>
      <c r="K184" s="27"/>
      <c r="L184" s="27"/>
      <c r="M184" s="27"/>
      <c r="O184" s="27"/>
      <c r="P184" s="27"/>
      <c r="AA184" s="13" t="b">
        <v>0</v>
      </c>
      <c r="AB184" s="13" t="b">
        <v>0</v>
      </c>
      <c r="AC184" s="13" t="b">
        <v>0</v>
      </c>
      <c r="AE184" s="27"/>
      <c r="AF184" s="27" t="str">
        <f>IFERROR(__xludf.DUMMYFUNCTION("""COMPUTED_VALUE"""),"")</f>
        <v/>
      </c>
      <c r="AG184" s="27"/>
      <c r="AH184" s="27"/>
      <c r="AI184" s="27"/>
    </row>
    <row r="185" outlineLevel="2">
      <c r="A185" s="26" t="s">
        <v>76</v>
      </c>
      <c r="B185" s="31" t="s">
        <v>625</v>
      </c>
      <c r="C185" s="26" t="s">
        <v>626</v>
      </c>
      <c r="D185" s="27"/>
      <c r="E185" s="27"/>
      <c r="F185" s="27"/>
      <c r="G185" s="27"/>
      <c r="H185" s="27"/>
      <c r="I185" s="27"/>
      <c r="J185" s="26"/>
      <c r="K185" s="27"/>
      <c r="L185" s="27"/>
      <c r="M185" s="27"/>
      <c r="O185" s="27"/>
      <c r="P185" s="27"/>
      <c r="AA185" s="13" t="b">
        <v>0</v>
      </c>
      <c r="AB185" s="13" t="b">
        <v>0</v>
      </c>
      <c r="AC185" s="13" t="b">
        <v>0</v>
      </c>
      <c r="AE185" s="27"/>
      <c r="AF185" s="27" t="str">
        <f>IFERROR(__xludf.DUMMYFUNCTION("""COMPUTED_VALUE"""),"")</f>
        <v/>
      </c>
      <c r="AG185" s="27"/>
      <c r="AH185" s="27"/>
      <c r="AI185" s="27"/>
    </row>
    <row r="186" outlineLevel="2">
      <c r="A186" s="27" t="s">
        <v>627</v>
      </c>
      <c r="B186" s="30" t="s">
        <v>628</v>
      </c>
      <c r="C186" s="26" t="s">
        <v>36</v>
      </c>
      <c r="D186" s="27"/>
      <c r="E186" s="27" t="s">
        <v>629</v>
      </c>
      <c r="G186" s="27" t="s">
        <v>107</v>
      </c>
      <c r="H186" s="27"/>
      <c r="I186" s="27"/>
      <c r="J186" s="26" t="s">
        <v>626</v>
      </c>
      <c r="K186" s="27"/>
      <c r="L186" s="27"/>
      <c r="M186" s="27"/>
      <c r="O186" s="27"/>
      <c r="P186" s="27"/>
      <c r="V186" s="13" t="s">
        <v>630</v>
      </c>
      <c r="W186" s="13" t="s">
        <v>631</v>
      </c>
      <c r="X186" s="13" t="s">
        <v>632</v>
      </c>
      <c r="Y186" s="13" t="s">
        <v>633</v>
      </c>
      <c r="Z186" s="13" t="s">
        <v>634</v>
      </c>
      <c r="AA186" s="13" t="b">
        <v>1</v>
      </c>
      <c r="AB186" s="13" t="b">
        <v>0</v>
      </c>
      <c r="AC186" s="13" t="b">
        <v>0</v>
      </c>
      <c r="AE186" s="27"/>
      <c r="AF186" s="27" t="str">
        <f>IFERROR(__xludf.DUMMYFUNCTION("""COMPUTED_VALUE"""),"quick,likert,map,minimal,search,columns-pack,columns,columns-n,no-buttons,image-map,label,list-nolabel,list")</f>
        <v>quick,likert,map,minimal,search,columns-pack,columns,columns-n,no-buttons,image-map,label,list-nolabel,list</v>
      </c>
      <c r="AG186" s="27"/>
      <c r="AH186" s="27"/>
      <c r="AI186" s="27"/>
    </row>
    <row r="187" outlineLevel="2">
      <c r="A187" s="27" t="s">
        <v>231</v>
      </c>
      <c r="B187" s="30" t="s">
        <v>635</v>
      </c>
      <c r="C187" s="27" t="s">
        <v>39</v>
      </c>
      <c r="D187" s="26" t="s">
        <v>636</v>
      </c>
      <c r="E187" s="27"/>
      <c r="F187" s="27"/>
      <c r="G187" s="27"/>
      <c r="H187" s="27"/>
      <c r="I187" s="27"/>
      <c r="J187" s="27"/>
      <c r="K187" s="27"/>
      <c r="L187" s="27" t="s">
        <v>236</v>
      </c>
      <c r="M187" s="27"/>
      <c r="O187" s="27"/>
      <c r="P187" s="27"/>
      <c r="V187" s="13" t="s">
        <v>637</v>
      </c>
      <c r="W187" s="13" t="s">
        <v>638</v>
      </c>
      <c r="X187" s="13" t="s">
        <v>639</v>
      </c>
      <c r="Y187" s="13" t="s">
        <v>638</v>
      </c>
      <c r="Z187" s="13" t="s">
        <v>640</v>
      </c>
      <c r="AA187" s="13" t="b">
        <v>1</v>
      </c>
      <c r="AB187" s="13" t="b">
        <v>0</v>
      </c>
      <c r="AC187" s="13" t="b">
        <v>0</v>
      </c>
      <c r="AE187" s="27"/>
      <c r="AF187" s="27" t="str">
        <f>IFERROR(__xludf.DUMMYFUNCTION("""COMPUTED_VALUE"""),"")</f>
        <v/>
      </c>
      <c r="AG187" s="27"/>
      <c r="AH187" s="27"/>
      <c r="AI187" s="27"/>
    </row>
    <row r="188" outlineLevel="2">
      <c r="A188" s="27" t="s">
        <v>231</v>
      </c>
      <c r="B188" s="30" t="s">
        <v>641</v>
      </c>
      <c r="C188" s="27" t="s">
        <v>642</v>
      </c>
      <c r="D188" s="27" t="b">
        <v>0</v>
      </c>
      <c r="E188" s="27"/>
      <c r="F188" s="27"/>
      <c r="G188" s="27"/>
      <c r="H188" s="27"/>
      <c r="I188" s="27"/>
      <c r="J188" s="27"/>
      <c r="K188" s="27"/>
      <c r="L188" s="27" t="s">
        <v>236</v>
      </c>
      <c r="M188" s="27"/>
      <c r="O188" s="27"/>
      <c r="P188" s="27"/>
      <c r="W188" s="13" t="s">
        <v>643</v>
      </c>
      <c r="X188" s="13" t="s">
        <v>644</v>
      </c>
      <c r="Y188" s="13" t="s">
        <v>643</v>
      </c>
      <c r="Z188" s="13" t="s">
        <v>645</v>
      </c>
      <c r="AA188" s="13" t="b">
        <v>0</v>
      </c>
      <c r="AB188" s="13" t="b">
        <v>1</v>
      </c>
      <c r="AC188" s="13" t="b">
        <v>0</v>
      </c>
      <c r="AE188" s="27"/>
      <c r="AF188" s="27" t="str">
        <f>IFERROR(__xludf.DUMMYFUNCTION("""COMPUTED_VALUE"""),"")</f>
        <v/>
      </c>
      <c r="AG188" s="27"/>
      <c r="AH188" s="27"/>
      <c r="AI188" s="27"/>
    </row>
    <row r="189" outlineLevel="2">
      <c r="A189" s="27" t="s">
        <v>231</v>
      </c>
      <c r="B189" s="30" t="s">
        <v>646</v>
      </c>
      <c r="C189" s="27" t="s">
        <v>647</v>
      </c>
      <c r="D189" s="27" t="b">
        <v>0</v>
      </c>
      <c r="E189" s="27"/>
      <c r="F189" s="27"/>
      <c r="G189" s="27"/>
      <c r="H189" s="27"/>
      <c r="I189" s="27"/>
      <c r="J189" s="27"/>
      <c r="K189" s="27"/>
      <c r="L189" s="27" t="s">
        <v>236</v>
      </c>
      <c r="M189" s="27"/>
      <c r="O189" s="27"/>
      <c r="P189" s="27"/>
      <c r="W189" s="13" t="s">
        <v>648</v>
      </c>
      <c r="Y189" s="13" t="s">
        <v>648</v>
      </c>
      <c r="AA189" s="13" t="b">
        <v>0</v>
      </c>
      <c r="AB189" s="13" t="b">
        <v>1</v>
      </c>
      <c r="AC189" s="13" t="b">
        <v>0</v>
      </c>
      <c r="AE189" s="27"/>
      <c r="AF189" s="27" t="str">
        <f>IFERROR(__xludf.DUMMYFUNCTION("""COMPUTED_VALUE"""),"")</f>
        <v/>
      </c>
      <c r="AG189" s="27"/>
      <c r="AH189" s="27"/>
      <c r="AI189" s="27"/>
    </row>
    <row r="190" outlineLevel="2">
      <c r="A190" s="27" t="s">
        <v>231</v>
      </c>
      <c r="B190" s="30" t="s">
        <v>649</v>
      </c>
      <c r="C190" s="27" t="s">
        <v>650</v>
      </c>
      <c r="D190" s="27" t="b">
        <v>0</v>
      </c>
      <c r="E190" s="27"/>
      <c r="F190" s="27"/>
      <c r="G190" s="27"/>
      <c r="H190" s="27"/>
      <c r="I190" s="27"/>
      <c r="J190" s="27"/>
      <c r="K190" s="27"/>
      <c r="L190" s="27" t="s">
        <v>236</v>
      </c>
      <c r="M190" s="27"/>
      <c r="O190" s="27"/>
      <c r="P190" s="27"/>
      <c r="W190" s="13" t="s">
        <v>651</v>
      </c>
      <c r="Y190" s="13" t="s">
        <v>651</v>
      </c>
      <c r="AA190" s="13" t="b">
        <v>0</v>
      </c>
      <c r="AB190" s="13" t="b">
        <v>1</v>
      </c>
      <c r="AC190" s="13" t="b">
        <v>0</v>
      </c>
      <c r="AE190" s="27"/>
      <c r="AF190" s="27" t="str">
        <f>IFERROR(__xludf.DUMMYFUNCTION("""COMPUTED_VALUE"""),"")</f>
        <v/>
      </c>
      <c r="AG190" s="27"/>
      <c r="AH190" s="27"/>
      <c r="AI190" s="27"/>
    </row>
    <row r="191" outlineLevel="2">
      <c r="A191" s="27" t="s">
        <v>231</v>
      </c>
      <c r="B191" s="30" t="s">
        <v>652</v>
      </c>
      <c r="C191" s="27" t="s">
        <v>653</v>
      </c>
      <c r="D191" s="27" t="b">
        <v>0</v>
      </c>
      <c r="E191" s="27"/>
      <c r="F191" s="27"/>
      <c r="G191" s="27"/>
      <c r="H191" s="27"/>
      <c r="I191" s="27"/>
      <c r="J191" s="27"/>
      <c r="K191" s="27"/>
      <c r="L191" s="27" t="s">
        <v>236</v>
      </c>
      <c r="M191" s="27"/>
      <c r="O191" s="27"/>
      <c r="P191" s="27"/>
      <c r="W191" s="13" t="s">
        <v>654</v>
      </c>
      <c r="Y191" s="13" t="s">
        <v>654</v>
      </c>
      <c r="AA191" s="13" t="b">
        <v>0</v>
      </c>
      <c r="AB191" s="13" t="b">
        <v>1</v>
      </c>
      <c r="AC191" s="13" t="b">
        <v>0</v>
      </c>
      <c r="AE191" s="27"/>
      <c r="AF191" s="27" t="str">
        <f>IFERROR(__xludf.DUMMYFUNCTION("""COMPUTED_VALUE"""),"")</f>
        <v/>
      </c>
      <c r="AG191" s="27"/>
      <c r="AH191" s="27"/>
      <c r="AI191" s="27"/>
    </row>
    <row r="192" outlineLevel="2">
      <c r="A192" s="27" t="s">
        <v>231</v>
      </c>
      <c r="B192" s="30" t="s">
        <v>655</v>
      </c>
      <c r="C192" s="27" t="s">
        <v>656</v>
      </c>
      <c r="D192" s="27" t="b">
        <v>0</v>
      </c>
      <c r="E192" s="27"/>
      <c r="F192" s="27"/>
      <c r="G192" s="27"/>
      <c r="H192" s="27"/>
      <c r="I192" s="27"/>
      <c r="J192" s="27"/>
      <c r="K192" s="27"/>
      <c r="L192" s="27" t="s">
        <v>236</v>
      </c>
      <c r="M192" s="27"/>
      <c r="O192" s="27"/>
      <c r="P192" s="27"/>
      <c r="W192" s="13" t="s">
        <v>657</v>
      </c>
      <c r="Y192" s="13" t="s">
        <v>657</v>
      </c>
      <c r="AA192" s="13" t="b">
        <v>0</v>
      </c>
      <c r="AB192" s="13" t="b">
        <v>1</v>
      </c>
      <c r="AC192" s="13" t="b">
        <v>0</v>
      </c>
      <c r="AE192" s="27"/>
      <c r="AF192" s="27" t="str">
        <f>IFERROR(__xludf.DUMMYFUNCTION("""COMPUTED_VALUE"""),"")</f>
        <v/>
      </c>
      <c r="AG192" s="27"/>
      <c r="AH192" s="27"/>
      <c r="AI192" s="27"/>
    </row>
    <row r="193" outlineLevel="2">
      <c r="A193" s="27" t="s">
        <v>231</v>
      </c>
      <c r="B193" s="30" t="s">
        <v>658</v>
      </c>
      <c r="C193" s="27" t="s">
        <v>659</v>
      </c>
      <c r="D193" s="27" t="b">
        <v>0</v>
      </c>
      <c r="E193" s="27"/>
      <c r="F193" s="27"/>
      <c r="G193" s="27"/>
      <c r="H193" s="27"/>
      <c r="I193" s="27"/>
      <c r="J193" s="27"/>
      <c r="K193" s="27"/>
      <c r="L193" s="27" t="s">
        <v>236</v>
      </c>
      <c r="M193" s="27"/>
      <c r="O193" s="27"/>
      <c r="P193" s="27"/>
      <c r="W193" s="13" t="s">
        <v>660</v>
      </c>
      <c r="Y193" s="13" t="s">
        <v>660</v>
      </c>
      <c r="AA193" s="13" t="b">
        <v>0</v>
      </c>
      <c r="AB193" s="13" t="b">
        <v>1</v>
      </c>
      <c r="AC193" s="13" t="b">
        <v>0</v>
      </c>
      <c r="AE193" s="27"/>
      <c r="AF193" s="27" t="str">
        <f>IFERROR(__xludf.DUMMYFUNCTION("""COMPUTED_VALUE"""),"")</f>
        <v/>
      </c>
      <c r="AG193" s="27"/>
      <c r="AH193" s="27"/>
      <c r="AI193" s="27"/>
    </row>
    <row r="194" outlineLevel="2">
      <c r="A194" s="27" t="s">
        <v>231</v>
      </c>
      <c r="B194" s="30" t="s">
        <v>661</v>
      </c>
      <c r="C194" s="27" t="s">
        <v>662</v>
      </c>
      <c r="D194" s="26" t="b">
        <v>0</v>
      </c>
      <c r="E194" s="27"/>
      <c r="F194" s="27"/>
      <c r="G194" s="27"/>
      <c r="H194" s="27"/>
      <c r="I194" s="27"/>
      <c r="J194" s="27"/>
      <c r="K194" s="27"/>
      <c r="L194" s="27" t="s">
        <v>236</v>
      </c>
      <c r="M194" s="27"/>
      <c r="O194" s="27"/>
      <c r="P194" s="27"/>
      <c r="W194" s="13" t="s">
        <v>663</v>
      </c>
      <c r="Y194" s="13" t="s">
        <v>663</v>
      </c>
      <c r="AA194" s="13" t="b">
        <v>0</v>
      </c>
      <c r="AB194" s="13" t="b">
        <v>1</v>
      </c>
      <c r="AC194" s="13" t="b">
        <v>0</v>
      </c>
      <c r="AE194" s="27"/>
      <c r="AF194" s="27" t="str">
        <f>IFERROR(__xludf.DUMMYFUNCTION("""COMPUTED_VALUE"""),"")</f>
        <v/>
      </c>
      <c r="AG194" s="27"/>
      <c r="AH194" s="27"/>
      <c r="AI194" s="27"/>
    </row>
    <row r="195" outlineLevel="2">
      <c r="A195" s="27" t="s">
        <v>231</v>
      </c>
      <c r="B195" s="30" t="s">
        <v>664</v>
      </c>
      <c r="C195" s="27" t="s">
        <v>40</v>
      </c>
      <c r="D195" s="26" t="s">
        <v>636</v>
      </c>
      <c r="E195" s="27"/>
      <c r="F195" s="27"/>
      <c r="G195" s="27"/>
      <c r="H195" s="27"/>
      <c r="I195" s="27"/>
      <c r="J195" s="27"/>
      <c r="K195" s="27"/>
      <c r="L195" s="27" t="s">
        <v>236</v>
      </c>
      <c r="M195" s="27"/>
      <c r="O195" s="27"/>
      <c r="P195" s="27"/>
      <c r="V195" s="13" t="s">
        <v>665</v>
      </c>
      <c r="W195" s="13" t="s">
        <v>666</v>
      </c>
      <c r="Y195" s="13" t="s">
        <v>666</v>
      </c>
      <c r="AA195" s="13" t="b">
        <v>1</v>
      </c>
      <c r="AB195" s="13" t="b">
        <v>0</v>
      </c>
      <c r="AC195" s="13" t="b">
        <v>0</v>
      </c>
      <c r="AE195" s="27"/>
      <c r="AF195" s="27" t="str">
        <f>IFERROR(__xludf.DUMMYFUNCTION("""COMPUTED_VALUE"""),"")</f>
        <v/>
      </c>
      <c r="AG195" s="27"/>
      <c r="AH195" s="27"/>
      <c r="AI195" s="27"/>
    </row>
    <row r="196" outlineLevel="2">
      <c r="A196" s="27" t="s">
        <v>667</v>
      </c>
      <c r="B196" s="30" t="s">
        <v>668</v>
      </c>
      <c r="C196" s="27" t="s">
        <v>669</v>
      </c>
      <c r="D196" s="26" t="s">
        <v>636</v>
      </c>
      <c r="E196" s="27" t="s">
        <v>670</v>
      </c>
      <c r="F196" s="27"/>
      <c r="G196" s="27" t="s">
        <v>107</v>
      </c>
      <c r="H196" s="27"/>
      <c r="I196" s="27"/>
      <c r="J196" s="27"/>
      <c r="K196" s="27"/>
      <c r="L196" s="27" t="s">
        <v>671</v>
      </c>
      <c r="M196" s="27"/>
      <c r="O196" s="27"/>
      <c r="P196" s="27"/>
      <c r="AA196" s="13" t="b">
        <v>0</v>
      </c>
      <c r="AB196" s="13" t="b">
        <v>0</v>
      </c>
      <c r="AC196" s="13" t="b">
        <v>0</v>
      </c>
      <c r="AE196" s="27"/>
      <c r="AF196" s="27" t="str">
        <f>IFERROR(__xludf.DUMMYFUNCTION("""COMPUTED_VALUE"""),"vertical,no-ticks,picker,rating")</f>
        <v>vertical,no-ticks,picker,rating</v>
      </c>
      <c r="AG196" s="27"/>
      <c r="AH196" s="27"/>
      <c r="AI196" s="27"/>
    </row>
    <row r="197" outlineLevel="1">
      <c r="A197" s="27" t="s">
        <v>283</v>
      </c>
      <c r="B197" s="30"/>
      <c r="C197" s="27"/>
      <c r="D197" s="27"/>
      <c r="E197" s="27"/>
      <c r="F197" s="27"/>
      <c r="G197" s="27"/>
      <c r="H197" s="27"/>
      <c r="I197" s="27"/>
      <c r="J197" s="27"/>
      <c r="K197" s="27"/>
      <c r="L197" s="27"/>
      <c r="M197" s="27"/>
      <c r="N197" s="13"/>
      <c r="O197" s="27"/>
      <c r="P197" s="27"/>
      <c r="Q197" s="13"/>
      <c r="R197" s="13"/>
      <c r="S197" s="13"/>
      <c r="T197" s="13"/>
      <c r="U197" s="13"/>
      <c r="V197" s="13"/>
      <c r="W197" s="13"/>
      <c r="X197" s="13"/>
      <c r="Y197" s="13"/>
      <c r="Z197" s="13"/>
      <c r="AA197" s="13" t="b">
        <v>0</v>
      </c>
      <c r="AB197" s="13" t="b">
        <v>0</v>
      </c>
      <c r="AC197" s="13" t="b">
        <v>0</v>
      </c>
      <c r="AD197" s="13"/>
      <c r="AE197" s="27"/>
      <c r="AF197" s="27" t="str">
        <f>IFERROR(__xludf.DUMMYFUNCTION("""COMPUTED_VALUE"""),"")</f>
        <v/>
      </c>
      <c r="AG197" s="27"/>
      <c r="AH197" s="27"/>
      <c r="AI197" s="27"/>
    </row>
    <row r="198">
      <c r="A198" s="27" t="s">
        <v>379</v>
      </c>
      <c r="B198" s="30"/>
      <c r="C198" s="27"/>
      <c r="D198" s="27"/>
      <c r="E198" s="27"/>
      <c r="F198" s="27"/>
      <c r="G198" s="27"/>
      <c r="H198" s="27"/>
      <c r="I198" s="27"/>
      <c r="J198" s="27"/>
      <c r="K198" s="27"/>
      <c r="L198" s="27"/>
      <c r="M198" s="27"/>
      <c r="N198" s="13"/>
      <c r="O198" s="27"/>
      <c r="P198" s="27"/>
      <c r="Q198" s="13"/>
      <c r="R198" s="13"/>
      <c r="S198" s="13"/>
      <c r="T198" s="13"/>
      <c r="U198" s="13"/>
      <c r="V198" s="13"/>
      <c r="W198" s="13"/>
      <c r="X198" s="13"/>
      <c r="Y198" s="13"/>
      <c r="Z198" s="13"/>
      <c r="AA198" s="13" t="b">
        <v>0</v>
      </c>
      <c r="AB198" s="13" t="b">
        <v>0</v>
      </c>
      <c r="AC198" s="13" t="b">
        <v>0</v>
      </c>
      <c r="AD198" s="13"/>
      <c r="AE198" s="27"/>
      <c r="AF198" s="27" t="str">
        <f>IFERROR(__xludf.DUMMYFUNCTION("""COMPUTED_VALUE"""),"")</f>
        <v/>
      </c>
      <c r="AG198" s="27"/>
      <c r="AH198" s="27"/>
      <c r="AI198" s="27"/>
    </row>
    <row r="199">
      <c r="A199" s="27" t="s">
        <v>231</v>
      </c>
      <c r="B199" s="30" t="s">
        <v>672</v>
      </c>
      <c r="C199" s="27" t="s">
        <v>673</v>
      </c>
      <c r="D199" s="27" t="s">
        <v>674</v>
      </c>
      <c r="E199" s="27"/>
      <c r="F199" s="27"/>
      <c r="G199" s="27"/>
      <c r="H199" s="27"/>
      <c r="I199" s="27"/>
      <c r="J199" s="27"/>
      <c r="K199" s="27"/>
      <c r="L199" s="27" t="s">
        <v>236</v>
      </c>
      <c r="M199" s="27"/>
      <c r="O199" s="27"/>
      <c r="P199" s="27"/>
      <c r="W199" s="13" t="s">
        <v>675</v>
      </c>
      <c r="Y199" s="13" t="s">
        <v>675</v>
      </c>
      <c r="Z199" s="13" t="s">
        <v>676</v>
      </c>
      <c r="AA199" s="13" t="b">
        <v>0</v>
      </c>
      <c r="AB199" s="13" t="b">
        <v>0</v>
      </c>
      <c r="AC199" s="13" t="b">
        <v>0</v>
      </c>
      <c r="AE199" s="27"/>
      <c r="AF199" s="27" t="str">
        <f>IFERROR(__xludf.DUMMYFUNCTION("""COMPUTED_VALUE"""),"")</f>
        <v/>
      </c>
      <c r="AG199" s="27"/>
      <c r="AH199" s="27"/>
      <c r="AI199" s="27"/>
    </row>
    <row r="200">
      <c r="A200" s="27"/>
      <c r="B200" s="30"/>
      <c r="C200" s="27"/>
      <c r="D200" s="27"/>
      <c r="E200" s="27"/>
      <c r="F200" s="27"/>
      <c r="G200" s="27"/>
      <c r="H200" s="27"/>
      <c r="I200" s="27"/>
      <c r="J200" s="27"/>
      <c r="K200" s="27"/>
      <c r="L200" s="27"/>
      <c r="M200" s="27"/>
      <c r="O200" s="27"/>
      <c r="P200" s="27"/>
      <c r="AA200" s="13" t="b">
        <v>0</v>
      </c>
      <c r="AB200" s="13" t="b">
        <v>0</v>
      </c>
      <c r="AC200" s="13" t="b">
        <v>0</v>
      </c>
      <c r="AE200" s="27"/>
      <c r="AF200" s="27" t="str">
        <f>IFERROR(__xludf.DUMMYFUNCTION("""COMPUTED_VALUE"""),"")</f>
        <v/>
      </c>
      <c r="AG200" s="27"/>
      <c r="AH200" s="27"/>
      <c r="AI200" s="27"/>
    </row>
    <row r="201">
      <c r="A201" s="27"/>
      <c r="B201" s="30"/>
      <c r="C201" s="27"/>
      <c r="D201" s="27"/>
      <c r="E201" s="27"/>
      <c r="F201" s="27"/>
      <c r="G201" s="27"/>
      <c r="H201" s="27"/>
      <c r="I201" s="27"/>
      <c r="J201" s="27"/>
      <c r="K201" s="27"/>
      <c r="L201" s="27"/>
      <c r="M201" s="27"/>
      <c r="O201" s="27"/>
      <c r="P201" s="27"/>
      <c r="AA201" s="13" t="b">
        <v>0</v>
      </c>
      <c r="AB201" s="13" t="b">
        <v>0</v>
      </c>
      <c r="AC201" s="13" t="b">
        <v>0</v>
      </c>
      <c r="AE201" s="27"/>
      <c r="AF201" s="27" t="str">
        <f>IFERROR(__xludf.DUMMYFUNCTION("""COMPUTED_VALUE"""),"")</f>
        <v/>
      </c>
      <c r="AG201" s="27"/>
      <c r="AH201" s="27"/>
      <c r="AI201" s="27"/>
    </row>
    <row r="202">
      <c r="A202" s="27"/>
      <c r="B202" s="30"/>
      <c r="C202" s="27"/>
      <c r="D202" s="27"/>
      <c r="E202" s="27"/>
      <c r="F202" s="27"/>
      <c r="G202" s="27"/>
      <c r="H202" s="27"/>
      <c r="I202" s="27"/>
      <c r="J202" s="27"/>
      <c r="K202" s="27"/>
      <c r="L202" s="27"/>
      <c r="M202" s="27"/>
      <c r="O202" s="27"/>
      <c r="P202" s="27"/>
      <c r="AA202" s="13" t="b">
        <v>0</v>
      </c>
      <c r="AB202" s="13" t="b">
        <v>0</v>
      </c>
      <c r="AC202" s="13" t="b">
        <v>0</v>
      </c>
      <c r="AE202" s="27"/>
      <c r="AF202" s="27" t="str">
        <f>IFERROR(__xludf.DUMMYFUNCTION("""COMPUTED_VALUE"""),"")</f>
        <v/>
      </c>
      <c r="AG202" s="27"/>
      <c r="AH202" s="27"/>
      <c r="AI202" s="27"/>
    </row>
    <row r="203" collapsed="1">
      <c r="A203" s="27" t="s">
        <v>113</v>
      </c>
      <c r="B203" s="30" t="s">
        <v>677</v>
      </c>
      <c r="C203" s="27"/>
      <c r="D203" s="27" t="s">
        <v>678</v>
      </c>
      <c r="E203" s="27" t="s">
        <v>116</v>
      </c>
      <c r="F203" s="27"/>
      <c r="G203" s="27"/>
      <c r="H203" s="27"/>
      <c r="I203" s="27"/>
      <c r="J203" s="27"/>
      <c r="K203" s="27"/>
      <c r="L203" s="27"/>
      <c r="M203" s="27"/>
      <c r="N203" s="13"/>
      <c r="O203" s="27"/>
      <c r="P203" s="27"/>
      <c r="Q203" s="13"/>
      <c r="R203" s="13"/>
      <c r="S203" s="13"/>
      <c r="T203" s="13"/>
      <c r="U203" s="13"/>
      <c r="V203" s="13"/>
      <c r="W203" s="13"/>
      <c r="X203" s="13"/>
      <c r="Y203" s="13"/>
      <c r="Z203" s="13"/>
      <c r="AA203" s="13" t="b">
        <v>0</v>
      </c>
      <c r="AB203" s="13" t="b">
        <v>0</v>
      </c>
      <c r="AC203" s="13" t="b">
        <v>0</v>
      </c>
      <c r="AD203" s="13"/>
      <c r="AE203" s="27"/>
      <c r="AF203" s="27" t="str">
        <f>IFERROR(__xludf.DUMMYFUNCTION("""COMPUTED_VALUE"""),"")</f>
        <v/>
      </c>
      <c r="AG203" s="27"/>
      <c r="AH203" s="27"/>
      <c r="AI203" s="27"/>
    </row>
    <row r="204" hidden="1" outlineLevel="1">
      <c r="A204" s="27" t="s">
        <v>183</v>
      </c>
      <c r="B204" s="30" t="s">
        <v>679</v>
      </c>
      <c r="C204" s="27" t="s">
        <v>680</v>
      </c>
      <c r="D204" s="27" t="s">
        <v>681</v>
      </c>
      <c r="E204" s="27"/>
      <c r="F204" s="27"/>
      <c r="G204" s="27"/>
      <c r="H204" s="27"/>
      <c r="I204" s="27"/>
      <c r="J204" s="27"/>
      <c r="K204" s="27"/>
      <c r="L204" s="27"/>
      <c r="M204" s="27"/>
      <c r="O204" s="27"/>
      <c r="P204" s="27"/>
      <c r="W204" s="13" t="s">
        <v>682</v>
      </c>
      <c r="Y204" s="13" t="s">
        <v>682</v>
      </c>
      <c r="AA204" s="13" t="b">
        <v>0</v>
      </c>
      <c r="AB204" s="13" t="b">
        <v>0</v>
      </c>
      <c r="AC204" s="13" t="b">
        <v>0</v>
      </c>
      <c r="AE204" s="27"/>
      <c r="AF204" s="27" t="str">
        <f>IFERROR(__xludf.DUMMYFUNCTION("""COMPUTED_VALUE"""),"placement-map,maps,hide-input")</f>
        <v>placement-map,maps,hide-input</v>
      </c>
      <c r="AG204" s="27"/>
      <c r="AH204" s="27"/>
      <c r="AI204" s="27"/>
    </row>
    <row r="205" hidden="1" outlineLevel="1">
      <c r="A205" s="27" t="s">
        <v>324</v>
      </c>
      <c r="B205" s="30" t="s">
        <v>683</v>
      </c>
      <c r="C205" s="27" t="s">
        <v>684</v>
      </c>
      <c r="D205" s="27" t="s">
        <v>685</v>
      </c>
      <c r="E205" s="27" t="s">
        <v>686</v>
      </c>
      <c r="F205" s="27"/>
      <c r="G205" s="27" t="s">
        <v>107</v>
      </c>
      <c r="H205" s="27"/>
      <c r="I205" s="27"/>
      <c r="J205" s="27" t="s">
        <v>176</v>
      </c>
      <c r="K205" s="27"/>
      <c r="L205" s="27"/>
      <c r="M205" s="27"/>
      <c r="O205" s="27"/>
      <c r="P205" s="27"/>
      <c r="V205" s="13" t="s">
        <v>687</v>
      </c>
      <c r="W205" s="13" t="s">
        <v>688</v>
      </c>
      <c r="Y205" s="13" t="s">
        <v>688</v>
      </c>
      <c r="Z205" s="13" t="s">
        <v>689</v>
      </c>
      <c r="AA205" s="13" t="b">
        <v>0</v>
      </c>
      <c r="AB205" s="13" t="b">
        <v>0</v>
      </c>
      <c r="AC205" s="13" t="b">
        <v>0</v>
      </c>
      <c r="AE205" s="27"/>
      <c r="AF205" s="27" t="str">
        <f>IFERROR(__xludf.DUMMYFUNCTION("""COMPUTED_VALUE"""),"quick,likert,map,minimal,search,columns-pack,columns,columns-n,no-buttons,image-map,label,list-nolabel,list")</f>
        <v>quick,likert,map,minimal,search,columns-pack,columns,columns-n,no-buttons,image-map,label,list-nolabel,list</v>
      </c>
      <c r="AG205" s="27"/>
      <c r="AH205" s="27"/>
      <c r="AI205" s="27"/>
    </row>
    <row r="206" hidden="1" outlineLevel="1">
      <c r="A206" s="27"/>
      <c r="B206" s="30"/>
      <c r="C206" s="27"/>
      <c r="D206" s="27"/>
      <c r="E206" s="27"/>
      <c r="F206" s="27"/>
      <c r="G206" s="27"/>
      <c r="H206" s="27"/>
      <c r="I206" s="27"/>
      <c r="J206" s="27"/>
      <c r="K206" s="27"/>
      <c r="L206" s="27"/>
      <c r="M206" s="27"/>
      <c r="O206" s="27"/>
      <c r="P206" s="27"/>
      <c r="AA206" s="13" t="b">
        <v>0</v>
      </c>
      <c r="AB206" s="13" t="b">
        <v>0</v>
      </c>
      <c r="AC206" s="13" t="b">
        <v>0</v>
      </c>
      <c r="AE206" s="27"/>
      <c r="AF206" s="27" t="str">
        <f>IFERROR(__xludf.DUMMYFUNCTION("""COMPUTED_VALUE"""),"")</f>
        <v/>
      </c>
      <c r="AG206" s="27"/>
      <c r="AH206" s="27"/>
      <c r="AI206" s="27"/>
    </row>
    <row r="207" hidden="1" outlineLevel="1">
      <c r="A207" s="27" t="s">
        <v>690</v>
      </c>
      <c r="B207" s="30" t="s">
        <v>691</v>
      </c>
      <c r="C207" s="27" t="s">
        <v>692</v>
      </c>
      <c r="D207" s="27" t="s">
        <v>693</v>
      </c>
      <c r="E207" s="27" t="s">
        <v>694</v>
      </c>
      <c r="F207" s="27"/>
      <c r="G207" s="27" t="s">
        <v>107</v>
      </c>
      <c r="H207" s="27"/>
      <c r="I207" s="27"/>
      <c r="J207" s="27"/>
      <c r="K207" s="27"/>
      <c r="L207" s="27"/>
      <c r="M207" s="27"/>
      <c r="O207" s="27"/>
      <c r="P207" s="27"/>
      <c r="V207" s="13" t="s">
        <v>695</v>
      </c>
      <c r="W207" s="13" t="s">
        <v>696</v>
      </c>
      <c r="Y207" s="13" t="s">
        <v>696</v>
      </c>
      <c r="Z207" s="13" t="s">
        <v>697</v>
      </c>
      <c r="AA207" s="13" t="b">
        <v>0</v>
      </c>
      <c r="AB207" s="13" t="b">
        <v>0</v>
      </c>
      <c r="AC207" s="13" t="b">
        <v>0</v>
      </c>
      <c r="AE207" s="27"/>
      <c r="AF207" s="27" t="str">
        <f>IFERROR(__xludf.DUMMYFUNCTION("""COMPUTED_VALUE"""),"minimal,search,columns-pack,columns,columns-n,no-buttons,image-map,label,list-nolabel,list")</f>
        <v>minimal,search,columns-pack,columns,columns-n,no-buttons,image-map,label,list-nolabel,list</v>
      </c>
      <c r="AG207" s="27"/>
      <c r="AH207" s="27"/>
      <c r="AI207" s="27"/>
    </row>
    <row r="208" hidden="1" outlineLevel="1">
      <c r="A208" s="27" t="s">
        <v>231</v>
      </c>
      <c r="B208" s="30" t="s">
        <v>698</v>
      </c>
      <c r="C208" s="27" t="s">
        <v>699</v>
      </c>
      <c r="D208" s="27" t="s">
        <v>700</v>
      </c>
      <c r="E208" s="27"/>
      <c r="F208" s="27"/>
      <c r="G208" s="27" t="s">
        <v>107</v>
      </c>
      <c r="H208" s="27"/>
      <c r="I208" s="27"/>
      <c r="J208" s="27"/>
      <c r="K208" s="27"/>
      <c r="L208" s="27" t="s">
        <v>308</v>
      </c>
      <c r="M208" s="27"/>
      <c r="O208" s="27"/>
      <c r="P208" s="27"/>
      <c r="U208" s="13" t="s">
        <v>701</v>
      </c>
      <c r="V208" s="13" t="s">
        <v>310</v>
      </c>
      <c r="W208" s="13" t="s">
        <v>702</v>
      </c>
      <c r="Y208" s="13" t="s">
        <v>702</v>
      </c>
      <c r="Z208" s="13" t="s">
        <v>703</v>
      </c>
      <c r="AA208" s="13" t="b">
        <v>0</v>
      </c>
      <c r="AB208" s="13" t="b">
        <v>0</v>
      </c>
      <c r="AC208" s="13" t="b">
        <v>0</v>
      </c>
      <c r="AE208" s="27"/>
      <c r="AF208" s="27" t="str">
        <f>IFERROR(__xludf.DUMMYFUNCTION("""COMPUTED_VALUE"""),"")</f>
        <v/>
      </c>
      <c r="AG208" s="27"/>
      <c r="AH208" s="27"/>
      <c r="AI208" s="27"/>
    </row>
    <row r="209" hidden="1" outlineLevel="1">
      <c r="A209" s="27" t="s">
        <v>704</v>
      </c>
      <c r="B209" s="30" t="s">
        <v>705</v>
      </c>
      <c r="C209" s="27" t="s">
        <v>706</v>
      </c>
      <c r="D209" s="27" t="s">
        <v>707</v>
      </c>
      <c r="E209" s="27"/>
      <c r="F209" s="27"/>
      <c r="G209" s="27" t="s">
        <v>107</v>
      </c>
      <c r="H209" s="27"/>
      <c r="I209" s="27"/>
      <c r="J209" s="27"/>
      <c r="K209" s="27"/>
      <c r="L209" s="27"/>
      <c r="M209" s="27"/>
      <c r="O209" s="27"/>
      <c r="P209" s="27"/>
      <c r="V209" s="13" t="s">
        <v>708</v>
      </c>
      <c r="W209" s="13" t="s">
        <v>709</v>
      </c>
      <c r="Y209" s="13" t="s">
        <v>709</v>
      </c>
      <c r="Z209" s="13" t="s">
        <v>710</v>
      </c>
      <c r="AA209" s="13" t="b">
        <v>0</v>
      </c>
      <c r="AB209" s="13" t="b">
        <v>0</v>
      </c>
      <c r="AC209" s="13" t="b">
        <v>0</v>
      </c>
      <c r="AE209" s="27"/>
      <c r="AF209" s="27" t="str">
        <f>IFERROR(__xludf.DUMMYFUNCTION("""COMPUTED_VALUE"""),"quick,likert,map,minimal,search,columns-pack,columns,columns-n,no-buttons,image-map,label,list-nolabel,list")</f>
        <v>quick,likert,map,minimal,search,columns-pack,columns,columns-n,no-buttons,image-map,label,list-nolabel,list</v>
      </c>
      <c r="AG209" s="27"/>
      <c r="AH209" s="27"/>
      <c r="AI209" s="27"/>
    </row>
    <row r="210" hidden="1" outlineLevel="1">
      <c r="A210" s="27" t="s">
        <v>231</v>
      </c>
      <c r="B210" s="30" t="s">
        <v>711</v>
      </c>
      <c r="C210" s="27" t="s">
        <v>712</v>
      </c>
      <c r="D210" s="27" t="s">
        <v>707</v>
      </c>
      <c r="E210" s="27"/>
      <c r="F210" s="27"/>
      <c r="G210" s="27" t="s">
        <v>107</v>
      </c>
      <c r="H210" s="27"/>
      <c r="I210" s="27"/>
      <c r="J210" s="27"/>
      <c r="K210" s="27"/>
      <c r="L210" s="27" t="s">
        <v>308</v>
      </c>
      <c r="M210" s="27"/>
      <c r="O210" s="27"/>
      <c r="P210" s="27"/>
      <c r="U210" s="13" t="s">
        <v>713</v>
      </c>
      <c r="V210" s="13" t="s">
        <v>310</v>
      </c>
      <c r="W210" s="13" t="s">
        <v>714</v>
      </c>
      <c r="Y210" s="13" t="s">
        <v>714</v>
      </c>
      <c r="Z210" s="13" t="s">
        <v>715</v>
      </c>
      <c r="AA210" s="13" t="b">
        <v>0</v>
      </c>
      <c r="AB210" s="13" t="b">
        <v>0</v>
      </c>
      <c r="AC210" s="13" t="b">
        <v>0</v>
      </c>
      <c r="AE210" s="27"/>
      <c r="AF210" s="27" t="str">
        <f>IFERROR(__xludf.DUMMYFUNCTION("""COMPUTED_VALUE"""),"")</f>
        <v/>
      </c>
      <c r="AG210" s="27"/>
      <c r="AH210" s="27"/>
      <c r="AI210" s="27"/>
    </row>
    <row r="211" hidden="1" outlineLevel="1">
      <c r="A211" s="27" t="s">
        <v>324</v>
      </c>
      <c r="B211" s="30" t="s">
        <v>716</v>
      </c>
      <c r="C211" s="27" t="s">
        <v>717</v>
      </c>
      <c r="D211" s="27" t="s">
        <v>718</v>
      </c>
      <c r="E211" s="27"/>
      <c r="F211" s="27"/>
      <c r="G211" s="27" t="s">
        <v>107</v>
      </c>
      <c r="H211" s="27"/>
      <c r="I211" s="27"/>
      <c r="J211" s="27"/>
      <c r="K211" s="27"/>
      <c r="L211" s="27"/>
      <c r="M211" s="27"/>
      <c r="O211" s="27"/>
      <c r="P211" s="27"/>
      <c r="V211" s="13" t="s">
        <v>719</v>
      </c>
      <c r="W211" s="13" t="s">
        <v>720</v>
      </c>
      <c r="Y211" s="13" t="s">
        <v>720</v>
      </c>
      <c r="Z211" s="13" t="s">
        <v>721</v>
      </c>
      <c r="AA211" s="13" t="b">
        <v>0</v>
      </c>
      <c r="AB211" s="13" t="b">
        <v>0</v>
      </c>
      <c r="AC211" s="13" t="b">
        <v>0</v>
      </c>
      <c r="AE211" s="27"/>
      <c r="AF211" s="27" t="str">
        <f>IFERROR(__xludf.DUMMYFUNCTION("""COMPUTED_VALUE"""),"quick,likert,map,minimal,search,columns-pack,columns,columns-n,no-buttons,image-map,label,list-nolabel,list")</f>
        <v>quick,likert,map,minimal,search,columns-pack,columns,columns-n,no-buttons,image-map,label,list-nolabel,list</v>
      </c>
      <c r="AG211" s="27"/>
      <c r="AH211" s="27"/>
      <c r="AI211" s="27"/>
    </row>
    <row r="212" hidden="1" outlineLevel="1">
      <c r="A212" s="27" t="s">
        <v>231</v>
      </c>
      <c r="B212" s="30" t="s">
        <v>722</v>
      </c>
      <c r="C212" s="27" t="s">
        <v>723</v>
      </c>
      <c r="D212" s="27" t="s">
        <v>718</v>
      </c>
      <c r="E212" s="27"/>
      <c r="F212" s="27"/>
      <c r="G212" s="27" t="s">
        <v>107</v>
      </c>
      <c r="H212" s="27"/>
      <c r="I212" s="27"/>
      <c r="J212" s="27"/>
      <c r="K212" s="27"/>
      <c r="L212" s="27" t="s">
        <v>308</v>
      </c>
      <c r="M212" s="27"/>
      <c r="O212" s="27"/>
      <c r="P212" s="27"/>
      <c r="U212" s="13" t="s">
        <v>724</v>
      </c>
      <c r="V212" s="13" t="s">
        <v>310</v>
      </c>
      <c r="W212" s="13" t="s">
        <v>725</v>
      </c>
      <c r="Y212" s="13" t="s">
        <v>725</v>
      </c>
      <c r="Z212" s="13" t="s">
        <v>726</v>
      </c>
      <c r="AA212" s="13" t="b">
        <v>0</v>
      </c>
      <c r="AB212" s="13" t="b">
        <v>0</v>
      </c>
      <c r="AC212" s="13" t="b">
        <v>0</v>
      </c>
      <c r="AE212" s="27"/>
      <c r="AF212" s="27" t="str">
        <f>IFERROR(__xludf.DUMMYFUNCTION("""COMPUTED_VALUE"""),"")</f>
        <v/>
      </c>
      <c r="AG212" s="27"/>
      <c r="AH212" s="27"/>
      <c r="AI212" s="27"/>
    </row>
    <row r="213" hidden="1" outlineLevel="1">
      <c r="A213" s="27" t="s">
        <v>231</v>
      </c>
      <c r="B213" s="30" t="s">
        <v>727</v>
      </c>
      <c r="C213" s="27" t="s">
        <v>728</v>
      </c>
      <c r="D213" s="27" t="s">
        <v>729</v>
      </c>
      <c r="E213" s="27"/>
      <c r="F213" s="27"/>
      <c r="G213" s="27" t="s">
        <v>107</v>
      </c>
      <c r="H213" s="27"/>
      <c r="I213" s="27"/>
      <c r="J213" s="27"/>
      <c r="K213" s="27"/>
      <c r="L213" s="27" t="s">
        <v>308</v>
      </c>
      <c r="M213" s="27"/>
      <c r="O213" s="27"/>
      <c r="P213" s="27"/>
      <c r="U213" s="13" t="s">
        <v>730</v>
      </c>
      <c r="V213" s="13" t="s">
        <v>310</v>
      </c>
      <c r="W213" s="13" t="s">
        <v>731</v>
      </c>
      <c r="Y213" s="13" t="s">
        <v>731</v>
      </c>
      <c r="Z213" s="13" t="s">
        <v>732</v>
      </c>
      <c r="AA213" s="13" t="b">
        <v>0</v>
      </c>
      <c r="AB213" s="13" t="b">
        <v>0</v>
      </c>
      <c r="AC213" s="13" t="b">
        <v>0</v>
      </c>
      <c r="AE213" s="27"/>
      <c r="AF213" s="27" t="str">
        <f>IFERROR(__xludf.DUMMYFUNCTION("""COMPUTED_VALUE"""),"")</f>
        <v/>
      </c>
      <c r="AG213" s="27"/>
      <c r="AH213" s="27"/>
      <c r="AI213" s="27"/>
    </row>
    <row r="214" hidden="1" outlineLevel="1">
      <c r="A214" s="27" t="s">
        <v>231</v>
      </c>
      <c r="B214" s="30" t="s">
        <v>733</v>
      </c>
      <c r="C214" s="27" t="s">
        <v>734</v>
      </c>
      <c r="D214" s="27" t="s">
        <v>735</v>
      </c>
      <c r="E214" s="27"/>
      <c r="F214" s="27"/>
      <c r="G214" s="27" t="s">
        <v>107</v>
      </c>
      <c r="H214" s="27"/>
      <c r="I214" s="27"/>
      <c r="J214" s="27"/>
      <c r="K214" s="27"/>
      <c r="L214" s="27" t="s">
        <v>308</v>
      </c>
      <c r="M214" s="27"/>
      <c r="O214" s="27"/>
      <c r="P214" s="27"/>
      <c r="U214" s="13" t="s">
        <v>736</v>
      </c>
      <c r="V214" s="13" t="s">
        <v>310</v>
      </c>
      <c r="W214" s="13" t="s">
        <v>737</v>
      </c>
      <c r="Y214" s="13" t="s">
        <v>737</v>
      </c>
      <c r="Z214" s="13" t="s">
        <v>738</v>
      </c>
      <c r="AA214" s="13" t="b">
        <v>0</v>
      </c>
      <c r="AB214" s="13" t="b">
        <v>0</v>
      </c>
      <c r="AC214" s="13" t="b">
        <v>0</v>
      </c>
      <c r="AE214" s="27"/>
      <c r="AF214" s="27" t="str">
        <f>IFERROR(__xludf.DUMMYFUNCTION("""COMPUTED_VALUE"""),"")</f>
        <v/>
      </c>
      <c r="AG214" s="27"/>
      <c r="AH214" s="27"/>
      <c r="AI214" s="27"/>
    </row>
    <row r="215" hidden="1" outlineLevel="1">
      <c r="A215" s="27"/>
      <c r="B215" s="30"/>
      <c r="C215" s="27"/>
      <c r="D215" s="27"/>
      <c r="E215" s="27"/>
      <c r="F215" s="27"/>
      <c r="G215" s="27"/>
      <c r="H215" s="27"/>
      <c r="I215" s="27"/>
      <c r="J215" s="27"/>
      <c r="K215" s="27"/>
      <c r="L215" s="27"/>
      <c r="M215" s="27"/>
      <c r="O215" s="27"/>
      <c r="P215" s="27"/>
      <c r="Y215" s="13" t="s">
        <v>45</v>
      </c>
      <c r="AA215" s="13" t="b">
        <v>0</v>
      </c>
      <c r="AB215" s="13" t="b">
        <v>0</v>
      </c>
      <c r="AC215" s="13" t="b">
        <v>0</v>
      </c>
      <c r="AE215" s="27"/>
      <c r="AF215" s="27" t="str">
        <f>IFERROR(__xludf.DUMMYFUNCTION("""COMPUTED_VALUE"""),"")</f>
        <v/>
      </c>
      <c r="AG215" s="27"/>
      <c r="AH215" s="27"/>
      <c r="AI215" s="27"/>
    </row>
    <row r="216" hidden="1" outlineLevel="1">
      <c r="A216" s="27"/>
      <c r="B216" s="30"/>
      <c r="C216" s="27"/>
      <c r="D216" s="27"/>
      <c r="E216" s="27"/>
      <c r="F216" s="27"/>
      <c r="G216" s="27"/>
      <c r="H216" s="27"/>
      <c r="I216" s="27"/>
      <c r="J216" s="27"/>
      <c r="K216" s="27"/>
      <c r="L216" s="27"/>
      <c r="M216" s="27"/>
      <c r="O216" s="27"/>
      <c r="P216" s="27"/>
      <c r="Y216" s="13" t="s">
        <v>45</v>
      </c>
      <c r="AA216" s="13" t="b">
        <v>0</v>
      </c>
      <c r="AB216" s="13" t="b">
        <v>0</v>
      </c>
      <c r="AC216" s="13" t="b">
        <v>0</v>
      </c>
      <c r="AE216" s="27"/>
      <c r="AF216" s="27" t="str">
        <f>IFERROR(__xludf.DUMMYFUNCTION("""COMPUTED_VALUE"""),"")</f>
        <v/>
      </c>
      <c r="AG216" s="27"/>
      <c r="AH216" s="27"/>
      <c r="AI216" s="27"/>
    </row>
    <row r="217" hidden="1" outlineLevel="1">
      <c r="A217" s="27" t="s">
        <v>739</v>
      </c>
      <c r="B217" s="30" t="s">
        <v>740</v>
      </c>
      <c r="C217" s="27" t="s">
        <v>741</v>
      </c>
      <c r="D217" s="27" t="s">
        <v>742</v>
      </c>
      <c r="E217" s="27"/>
      <c r="F217" s="27"/>
      <c r="G217" s="27"/>
      <c r="H217" s="27"/>
      <c r="I217" s="27"/>
      <c r="J217" s="27"/>
      <c r="K217" s="27"/>
      <c r="L217" s="27"/>
      <c r="M217" s="27"/>
      <c r="O217" s="27"/>
      <c r="P217" s="27"/>
      <c r="W217" s="13" t="s">
        <v>743</v>
      </c>
      <c r="Y217" s="13" t="s">
        <v>743</v>
      </c>
      <c r="AA217" s="13" t="b">
        <v>0</v>
      </c>
      <c r="AB217" s="13" t="b">
        <v>0</v>
      </c>
      <c r="AC217" s="13" t="b">
        <v>0</v>
      </c>
      <c r="AE217" s="27"/>
      <c r="AF217" s="27" t="str">
        <f>IFERROR(__xludf.DUMMYFUNCTION("""COMPUTED_VALUE"""),"quick,likert,map,minimal,search,columns-pack,columns,columns-n,no-buttons,image-map,label,list-nolabel,list")</f>
        <v>quick,likert,map,minimal,search,columns-pack,columns,columns-n,no-buttons,image-map,label,list-nolabel,list</v>
      </c>
      <c r="AG217" s="27"/>
      <c r="AH217" s="27"/>
      <c r="AI217" s="27"/>
    </row>
    <row r="218" hidden="1" outlineLevel="1">
      <c r="A218" s="27"/>
      <c r="B218" s="30"/>
      <c r="C218" s="27"/>
      <c r="D218" s="27"/>
      <c r="E218" s="27"/>
      <c r="F218" s="27"/>
      <c r="G218" s="27"/>
      <c r="H218" s="27"/>
      <c r="I218" s="27"/>
      <c r="J218" s="27"/>
      <c r="K218" s="27"/>
      <c r="L218" s="27"/>
      <c r="M218" s="27"/>
      <c r="O218" s="27"/>
      <c r="P218" s="27"/>
      <c r="Y218" s="13" t="s">
        <v>45</v>
      </c>
      <c r="AA218" s="13" t="b">
        <v>0</v>
      </c>
      <c r="AB218" s="13" t="b">
        <v>0</v>
      </c>
      <c r="AC218" s="13" t="b">
        <v>0</v>
      </c>
      <c r="AE218" s="27"/>
      <c r="AF218" s="27" t="str">
        <f>IFERROR(__xludf.DUMMYFUNCTION("""COMPUTED_VALUE"""),"")</f>
        <v/>
      </c>
      <c r="AG218" s="27"/>
      <c r="AH218" s="27"/>
      <c r="AI218" s="27"/>
    </row>
    <row r="219" hidden="1" outlineLevel="1" collapsed="1">
      <c r="A219" s="27" t="s">
        <v>113</v>
      </c>
      <c r="B219" s="30" t="s">
        <v>744</v>
      </c>
      <c r="C219" s="27"/>
      <c r="D219" s="27" t="s">
        <v>745</v>
      </c>
      <c r="E219" s="27"/>
      <c r="F219" s="27"/>
      <c r="G219" s="27"/>
      <c r="H219" s="27"/>
      <c r="I219" s="27"/>
      <c r="J219" s="27"/>
      <c r="K219" s="27"/>
      <c r="L219" s="27"/>
      <c r="M219" s="27"/>
      <c r="N219" s="13"/>
      <c r="O219" s="27"/>
      <c r="P219" s="27"/>
      <c r="Q219" s="13"/>
      <c r="R219" s="13"/>
      <c r="S219" s="13"/>
      <c r="T219" s="13"/>
      <c r="U219" s="13"/>
      <c r="V219" s="13"/>
      <c r="W219" s="13"/>
      <c r="X219" s="13"/>
      <c r="Y219" s="13" t="s">
        <v>45</v>
      </c>
      <c r="Z219" s="13"/>
      <c r="AA219" s="13" t="b">
        <v>0</v>
      </c>
      <c r="AB219" s="13" t="b">
        <v>0</v>
      </c>
      <c r="AC219" s="13" t="b">
        <v>0</v>
      </c>
      <c r="AD219" s="13"/>
      <c r="AE219" s="27"/>
      <c r="AF219" s="27" t="str">
        <f>IFERROR(__xludf.DUMMYFUNCTION("""COMPUTED_VALUE"""),"")</f>
        <v/>
      </c>
      <c r="AG219" s="27"/>
      <c r="AH219" s="27"/>
      <c r="AI219" s="27"/>
    </row>
    <row r="220" hidden="1" outlineLevel="2">
      <c r="A220" s="27" t="s">
        <v>324</v>
      </c>
      <c r="B220" s="30" t="s">
        <v>746</v>
      </c>
      <c r="C220" s="27" t="s">
        <v>747</v>
      </c>
      <c r="D220" s="27"/>
      <c r="E220" s="27"/>
      <c r="F220" s="27"/>
      <c r="G220" s="27" t="s">
        <v>107</v>
      </c>
      <c r="H220" s="27"/>
      <c r="I220" s="27"/>
      <c r="J220" s="27" t="s">
        <v>107</v>
      </c>
      <c r="K220" s="27"/>
      <c r="L220" s="27"/>
      <c r="M220" s="27"/>
      <c r="O220" s="27"/>
      <c r="P220" s="27"/>
      <c r="W220" s="13" t="s">
        <v>748</v>
      </c>
      <c r="Y220" s="13" t="s">
        <v>748</v>
      </c>
      <c r="Z220" s="13" t="s">
        <v>749</v>
      </c>
      <c r="AA220" s="13" t="b">
        <v>0</v>
      </c>
      <c r="AB220" s="13" t="b">
        <v>0</v>
      </c>
      <c r="AC220" s="13" t="b">
        <v>0</v>
      </c>
      <c r="AE220" s="27"/>
      <c r="AF220" s="27" t="str">
        <f>IFERROR(__xludf.DUMMYFUNCTION("""COMPUTED_VALUE"""),"quick,likert,map,minimal,search,columns-pack,columns,columns-n,no-buttons,image-map,label,list-nolabel,list")</f>
        <v>quick,likert,map,minimal,search,columns-pack,columns,columns-n,no-buttons,image-map,label,list-nolabel,list</v>
      </c>
      <c r="AG220" s="27"/>
      <c r="AH220" s="27"/>
      <c r="AI220" s="27"/>
    </row>
    <row r="221" hidden="1" outlineLevel="2" collapsed="1">
      <c r="A221" s="27" t="s">
        <v>113</v>
      </c>
      <c r="B221" s="30" t="s">
        <v>750</v>
      </c>
      <c r="C221" s="27"/>
      <c r="D221" s="27" t="s">
        <v>751</v>
      </c>
      <c r="E221" s="27"/>
      <c r="F221" s="27"/>
      <c r="G221" s="27"/>
      <c r="H221" s="27"/>
      <c r="I221" s="27"/>
      <c r="J221" s="27"/>
      <c r="K221" s="27"/>
      <c r="L221" s="27"/>
      <c r="M221" s="27"/>
      <c r="N221" s="13"/>
      <c r="O221" s="27"/>
      <c r="P221" s="27"/>
      <c r="Q221" s="13"/>
      <c r="R221" s="13"/>
      <c r="S221" s="13"/>
      <c r="T221" s="13"/>
      <c r="U221" s="13"/>
      <c r="V221" s="13"/>
      <c r="W221" s="13"/>
      <c r="X221" s="13"/>
      <c r="Y221" s="13" t="s">
        <v>45</v>
      </c>
      <c r="Z221" s="13"/>
      <c r="AA221" s="13" t="b">
        <v>0</v>
      </c>
      <c r="AB221" s="13" t="b">
        <v>0</v>
      </c>
      <c r="AC221" s="13" t="b">
        <v>0</v>
      </c>
      <c r="AD221" s="13"/>
      <c r="AE221" s="27"/>
      <c r="AF221" s="27" t="str">
        <f>IFERROR(__xludf.DUMMYFUNCTION("""COMPUTED_VALUE"""),"")</f>
        <v/>
      </c>
      <c r="AG221" s="27"/>
      <c r="AH221" s="27"/>
      <c r="AI221" s="27"/>
    </row>
    <row r="222" hidden="1" outlineLevel="3">
      <c r="A222" s="27" t="s">
        <v>123</v>
      </c>
      <c r="B222" s="30" t="s">
        <v>752</v>
      </c>
      <c r="C222" s="27" t="s">
        <v>753</v>
      </c>
      <c r="D222" s="27" t="s">
        <v>275</v>
      </c>
      <c r="E222" s="27"/>
      <c r="F222" s="27"/>
      <c r="G222" s="27"/>
      <c r="H222" s="27" t="s">
        <v>754</v>
      </c>
      <c r="I222" s="27"/>
      <c r="J222" s="27"/>
      <c r="K222" s="27"/>
      <c r="L222" s="27"/>
      <c r="M222" s="27"/>
      <c r="O222" s="27"/>
      <c r="P222" s="27"/>
      <c r="Z222" s="13" t="s">
        <v>755</v>
      </c>
      <c r="AA222" s="13" t="b">
        <v>0</v>
      </c>
      <c r="AB222" s="13" t="b">
        <v>0</v>
      </c>
      <c r="AC222" s="13" t="b">
        <v>0</v>
      </c>
      <c r="AE222" s="27"/>
      <c r="AF222" s="27" t="str">
        <f>IFERROR(__xludf.DUMMYFUNCTION("""COMPUTED_VALUE"""),"")</f>
        <v/>
      </c>
      <c r="AG222" s="27"/>
      <c r="AH222" s="27"/>
      <c r="AI222" s="27"/>
    </row>
    <row r="223" hidden="1" outlineLevel="3">
      <c r="A223" s="27" t="s">
        <v>80</v>
      </c>
      <c r="B223" s="30" t="s">
        <v>756</v>
      </c>
      <c r="C223" s="27"/>
      <c r="D223" s="27" t="s">
        <v>275</v>
      </c>
      <c r="E223" s="27"/>
      <c r="F223" s="27">
        <v>1.0</v>
      </c>
      <c r="G223" s="27"/>
      <c r="H223" s="27"/>
      <c r="I223" s="27"/>
      <c r="J223" s="27"/>
      <c r="K223" s="27" t="s">
        <v>757</v>
      </c>
      <c r="L223" s="27"/>
      <c r="M223" s="27"/>
      <c r="O223" s="27"/>
      <c r="P223" s="27"/>
      <c r="AA223" s="13" t="b">
        <v>0</v>
      </c>
      <c r="AB223" s="13" t="b">
        <v>0</v>
      </c>
      <c r="AC223" s="13" t="b">
        <v>0</v>
      </c>
      <c r="AE223" s="27"/>
      <c r="AF223" s="27" t="str">
        <f>IFERROR(__xludf.DUMMYFUNCTION("""COMPUTED_VALUE"""),"")</f>
        <v/>
      </c>
      <c r="AG223" s="27"/>
      <c r="AH223" s="27"/>
      <c r="AI223" s="27"/>
    </row>
    <row r="224" hidden="1" outlineLevel="3">
      <c r="A224" s="27" t="s">
        <v>80</v>
      </c>
      <c r="B224" s="30" t="s">
        <v>758</v>
      </c>
      <c r="C224" s="27"/>
      <c r="D224" s="27" t="s">
        <v>275</v>
      </c>
      <c r="E224" s="27"/>
      <c r="F224" s="27">
        <v>1.0</v>
      </c>
      <c r="G224" s="27"/>
      <c r="H224" s="27"/>
      <c r="I224" s="27"/>
      <c r="J224" s="27"/>
      <c r="K224" s="27" t="s">
        <v>759</v>
      </c>
      <c r="L224" s="27"/>
      <c r="M224" s="27"/>
      <c r="O224" s="27"/>
      <c r="P224" s="27"/>
      <c r="AA224" s="13" t="b">
        <v>0</v>
      </c>
      <c r="AB224" s="13" t="b">
        <v>0</v>
      </c>
      <c r="AC224" s="13" t="b">
        <v>0</v>
      </c>
      <c r="AE224" s="27"/>
      <c r="AF224" s="27" t="str">
        <f>IFERROR(__xludf.DUMMYFUNCTION("""COMPUTED_VALUE"""),"")</f>
        <v/>
      </c>
      <c r="AG224" s="27"/>
      <c r="AH224" s="27"/>
      <c r="AI224" s="27"/>
    </row>
    <row r="225" hidden="1" outlineLevel="3">
      <c r="A225" s="27" t="s">
        <v>80</v>
      </c>
      <c r="B225" s="30" t="s">
        <v>760</v>
      </c>
      <c r="C225" s="27"/>
      <c r="D225" s="27" t="s">
        <v>275</v>
      </c>
      <c r="E225" s="27"/>
      <c r="F225" s="27">
        <v>1.0</v>
      </c>
      <c r="G225" s="27"/>
      <c r="H225" s="27"/>
      <c r="I225" s="27"/>
      <c r="J225" s="27"/>
      <c r="K225" s="27" t="s">
        <v>761</v>
      </c>
      <c r="L225" s="27"/>
      <c r="M225" s="27"/>
      <c r="O225" s="27"/>
      <c r="P225" s="27"/>
      <c r="AA225" s="13" t="b">
        <v>0</v>
      </c>
      <c r="AB225" s="13" t="b">
        <v>0</v>
      </c>
      <c r="AC225" s="13" t="b">
        <v>0</v>
      </c>
      <c r="AE225" s="27"/>
      <c r="AF225" s="27" t="str">
        <f>IFERROR(__xludf.DUMMYFUNCTION("""COMPUTED_VALUE"""),"")</f>
        <v/>
      </c>
      <c r="AG225" s="27"/>
      <c r="AH225" s="27"/>
      <c r="AI225" s="27"/>
    </row>
    <row r="226" hidden="1" outlineLevel="3">
      <c r="A226" s="27" t="s">
        <v>80</v>
      </c>
      <c r="B226" s="30" t="s">
        <v>762</v>
      </c>
      <c r="C226" s="27"/>
      <c r="D226" s="27" t="s">
        <v>275</v>
      </c>
      <c r="E226" s="27"/>
      <c r="F226" s="27">
        <v>1.0</v>
      </c>
      <c r="G226" s="27"/>
      <c r="H226" s="27"/>
      <c r="I226" s="27"/>
      <c r="J226" s="27"/>
      <c r="K226" s="27" t="s">
        <v>763</v>
      </c>
      <c r="L226" s="27"/>
      <c r="M226" s="27"/>
      <c r="O226" s="27"/>
      <c r="P226" s="27"/>
      <c r="AA226" s="13" t="b">
        <v>0</v>
      </c>
      <c r="AB226" s="13" t="b">
        <v>0</v>
      </c>
      <c r="AC226" s="13" t="b">
        <v>0</v>
      </c>
      <c r="AE226" s="27"/>
      <c r="AF226" s="27" t="str">
        <f>IFERROR(__xludf.DUMMYFUNCTION("""COMPUTED_VALUE"""),"")</f>
        <v/>
      </c>
      <c r="AG226" s="27"/>
      <c r="AH226" s="27"/>
      <c r="AI226" s="27"/>
    </row>
    <row r="227" hidden="1" outlineLevel="3">
      <c r="A227" s="27" t="s">
        <v>80</v>
      </c>
      <c r="B227" s="30" t="s">
        <v>764</v>
      </c>
      <c r="C227" s="27"/>
      <c r="D227" s="27" t="s">
        <v>275</v>
      </c>
      <c r="E227" s="27"/>
      <c r="F227" s="27">
        <v>1.0</v>
      </c>
      <c r="G227" s="27"/>
      <c r="H227" s="27"/>
      <c r="I227" s="27"/>
      <c r="J227" s="27"/>
      <c r="K227" s="27" t="s">
        <v>765</v>
      </c>
      <c r="L227" s="27"/>
      <c r="M227" s="27"/>
      <c r="O227" s="27"/>
      <c r="P227" s="27"/>
      <c r="AA227" s="13" t="b">
        <v>0</v>
      </c>
      <c r="AB227" s="13" t="b">
        <v>0</v>
      </c>
      <c r="AC227" s="13" t="b">
        <v>0</v>
      </c>
      <c r="AE227" s="27"/>
      <c r="AF227" s="27" t="str">
        <f>IFERROR(__xludf.DUMMYFUNCTION("""COMPUTED_VALUE"""),"")</f>
        <v/>
      </c>
      <c r="AG227" s="27"/>
      <c r="AH227" s="27"/>
      <c r="AI227" s="27"/>
    </row>
    <row r="228" hidden="1" outlineLevel="3">
      <c r="A228" s="27" t="s">
        <v>80</v>
      </c>
      <c r="B228" s="30" t="s">
        <v>766</v>
      </c>
      <c r="C228" s="27"/>
      <c r="D228" s="27" t="s">
        <v>275</v>
      </c>
      <c r="E228" s="27"/>
      <c r="F228" s="27">
        <v>1.0</v>
      </c>
      <c r="G228" s="27"/>
      <c r="H228" s="27"/>
      <c r="I228" s="27"/>
      <c r="J228" s="27"/>
      <c r="K228" s="27" t="s">
        <v>767</v>
      </c>
      <c r="L228" s="27"/>
      <c r="M228" s="27"/>
      <c r="O228" s="27"/>
      <c r="P228" s="27"/>
      <c r="AA228" s="13" t="b">
        <v>0</v>
      </c>
      <c r="AB228" s="13" t="b">
        <v>0</v>
      </c>
      <c r="AC228" s="13" t="b">
        <v>0</v>
      </c>
      <c r="AE228" s="27"/>
      <c r="AF228" s="27" t="str">
        <f>IFERROR(__xludf.DUMMYFUNCTION("""COMPUTED_VALUE"""),"")</f>
        <v/>
      </c>
      <c r="AG228" s="27"/>
      <c r="AH228" s="27"/>
      <c r="AI228" s="27"/>
    </row>
    <row r="229" hidden="1" outlineLevel="3">
      <c r="A229" s="27" t="s">
        <v>76</v>
      </c>
      <c r="B229" s="30" t="s">
        <v>768</v>
      </c>
      <c r="C229" s="27" t="s">
        <v>769</v>
      </c>
      <c r="D229" s="27" t="s">
        <v>275</v>
      </c>
      <c r="E229" s="27"/>
      <c r="F229" s="27"/>
      <c r="G229" s="27"/>
      <c r="H229" s="27"/>
      <c r="I229" s="27"/>
      <c r="J229" s="27"/>
      <c r="K229" s="27"/>
      <c r="L229" s="27"/>
      <c r="M229" s="27"/>
      <c r="O229" s="27"/>
      <c r="P229" s="27"/>
      <c r="W229" s="13" t="s">
        <v>769</v>
      </c>
      <c r="Y229" s="13" t="s">
        <v>769</v>
      </c>
      <c r="AA229" s="13" t="b">
        <v>0</v>
      </c>
      <c r="AB229" s="13" t="b">
        <v>0</v>
      </c>
      <c r="AC229" s="13" t="b">
        <v>0</v>
      </c>
      <c r="AE229" s="27"/>
      <c r="AF229" s="27" t="str">
        <f>IFERROR(__xludf.DUMMYFUNCTION("""COMPUTED_VALUE"""),"")</f>
        <v/>
      </c>
      <c r="AG229" s="27"/>
      <c r="AH229" s="27"/>
      <c r="AI229" s="27"/>
    </row>
    <row r="230" hidden="1" outlineLevel="3">
      <c r="A230" s="27" t="s">
        <v>770</v>
      </c>
      <c r="B230" s="30" t="s">
        <v>771</v>
      </c>
      <c r="C230" s="27" t="s">
        <v>772</v>
      </c>
      <c r="D230" s="27"/>
      <c r="E230" s="27"/>
      <c r="F230" s="27"/>
      <c r="G230" s="27"/>
      <c r="H230" s="27"/>
      <c r="I230" s="27"/>
      <c r="J230" s="27"/>
      <c r="K230" s="27"/>
      <c r="L230" s="27"/>
      <c r="M230" s="27"/>
      <c r="O230" s="27"/>
      <c r="P230" s="27"/>
      <c r="AA230" s="13" t="b">
        <v>0</v>
      </c>
      <c r="AB230" s="13" t="b">
        <v>0</v>
      </c>
      <c r="AC230" s="13" t="b">
        <v>0</v>
      </c>
      <c r="AE230" s="27"/>
      <c r="AF230" s="27" t="str">
        <f>IFERROR(__xludf.DUMMYFUNCTION("""COMPUTED_VALUE"""),"ex:,thousands-sep,bearing")</f>
        <v>ex:,thousands-sep,bearing</v>
      </c>
      <c r="AG230" s="27"/>
      <c r="AH230" s="27"/>
      <c r="AI230" s="27"/>
    </row>
    <row r="231" hidden="1" outlineLevel="3">
      <c r="A231" s="27" t="s">
        <v>80</v>
      </c>
      <c r="B231" s="30" t="s">
        <v>773</v>
      </c>
      <c r="C231" s="27"/>
      <c r="D231" s="27"/>
      <c r="E231" s="27"/>
      <c r="F231" s="27" t="s">
        <v>774</v>
      </c>
      <c r="G231" s="27"/>
      <c r="H231" s="27"/>
      <c r="I231" s="27"/>
      <c r="J231" s="27"/>
      <c r="K231" s="27"/>
      <c r="L231" s="27"/>
      <c r="M231" s="27"/>
      <c r="O231" s="27"/>
      <c r="P231" s="27"/>
      <c r="AA231" s="13" t="b">
        <v>0</v>
      </c>
      <c r="AB231" s="13" t="b">
        <v>0</v>
      </c>
      <c r="AC231" s="13" t="b">
        <v>0</v>
      </c>
      <c r="AE231" s="27"/>
      <c r="AF231" s="27" t="str">
        <f>IFERROR(__xludf.DUMMYFUNCTION("""COMPUTED_VALUE"""),"")</f>
        <v/>
      </c>
      <c r="AG231" s="27"/>
      <c r="AH231" s="27"/>
      <c r="AI231" s="27"/>
    </row>
    <row r="232" hidden="1" outlineLevel="3">
      <c r="A232" s="27" t="s">
        <v>80</v>
      </c>
      <c r="B232" s="30" t="s">
        <v>775</v>
      </c>
      <c r="C232" s="27"/>
      <c r="D232" s="27"/>
      <c r="E232" s="27"/>
      <c r="F232" s="27" t="s">
        <v>776</v>
      </c>
      <c r="G232" s="27"/>
      <c r="H232" s="27"/>
      <c r="I232" s="27"/>
      <c r="J232" s="27"/>
      <c r="K232" s="27"/>
      <c r="L232" s="27"/>
      <c r="M232" s="27"/>
      <c r="O232" s="27"/>
      <c r="P232" s="27"/>
      <c r="AA232" s="13" t="b">
        <v>0</v>
      </c>
      <c r="AB232" s="13" t="b">
        <v>0</v>
      </c>
      <c r="AC232" s="13" t="b">
        <v>0</v>
      </c>
      <c r="AE232" s="27"/>
      <c r="AF232" s="27" t="str">
        <f>IFERROR(__xludf.DUMMYFUNCTION("""COMPUTED_VALUE"""),"")</f>
        <v/>
      </c>
      <c r="AG232" s="27"/>
      <c r="AH232" s="27"/>
      <c r="AI232" s="27"/>
    </row>
    <row r="233" hidden="1" outlineLevel="3">
      <c r="A233" s="27" t="s">
        <v>80</v>
      </c>
      <c r="B233" s="30" t="s">
        <v>777</v>
      </c>
      <c r="C233" s="27"/>
      <c r="D233" s="27"/>
      <c r="E233" s="27"/>
      <c r="F233" s="27" t="s">
        <v>778</v>
      </c>
      <c r="G233" s="27"/>
      <c r="H233" s="27"/>
      <c r="I233" s="27"/>
      <c r="J233" s="27"/>
      <c r="K233" s="27"/>
      <c r="L233" s="27"/>
      <c r="M233" s="27"/>
      <c r="O233" s="27"/>
      <c r="P233" s="27"/>
      <c r="AA233" s="13" t="b">
        <v>0</v>
      </c>
      <c r="AB233" s="13" t="b">
        <v>0</v>
      </c>
      <c r="AC233" s="13" t="b">
        <v>0</v>
      </c>
      <c r="AE233" s="27"/>
      <c r="AF233" s="27" t="str">
        <f>IFERROR(__xludf.DUMMYFUNCTION("""COMPUTED_VALUE"""),"")</f>
        <v/>
      </c>
      <c r="AG233" s="27"/>
      <c r="AH233" s="27"/>
      <c r="AI233" s="27"/>
    </row>
    <row r="234" hidden="1" outlineLevel="3">
      <c r="A234" s="27" t="s">
        <v>80</v>
      </c>
      <c r="B234" s="30" t="s">
        <v>779</v>
      </c>
      <c r="C234" s="27"/>
      <c r="D234" s="27"/>
      <c r="E234" s="27"/>
      <c r="F234" s="27" t="s">
        <v>780</v>
      </c>
      <c r="G234" s="27"/>
      <c r="H234" s="27"/>
      <c r="I234" s="27"/>
      <c r="J234" s="27"/>
      <c r="K234" s="27"/>
      <c r="L234" s="27"/>
      <c r="M234" s="27"/>
      <c r="O234" s="27"/>
      <c r="P234" s="27"/>
      <c r="AA234" s="13" t="b">
        <v>0</v>
      </c>
      <c r="AB234" s="13" t="b">
        <v>0</v>
      </c>
      <c r="AC234" s="13" t="b">
        <v>0</v>
      </c>
      <c r="AE234" s="27"/>
      <c r="AF234" s="27" t="str">
        <f>IFERROR(__xludf.DUMMYFUNCTION("""COMPUTED_VALUE"""),"")</f>
        <v/>
      </c>
      <c r="AG234" s="27"/>
      <c r="AH234" s="27"/>
      <c r="AI234" s="27"/>
    </row>
    <row r="235" hidden="1" outlineLevel="3">
      <c r="A235" s="27" t="s">
        <v>80</v>
      </c>
      <c r="B235" s="30" t="s">
        <v>781</v>
      </c>
      <c r="C235" s="27"/>
      <c r="D235" s="27"/>
      <c r="E235" s="27"/>
      <c r="F235" s="27" t="s">
        <v>782</v>
      </c>
      <c r="G235" s="27"/>
      <c r="H235" s="27"/>
      <c r="I235" s="27"/>
      <c r="J235" s="27"/>
      <c r="K235" s="27"/>
      <c r="L235" s="27"/>
      <c r="M235" s="27"/>
      <c r="O235" s="27"/>
      <c r="P235" s="27"/>
      <c r="AA235" s="13" t="b">
        <v>0</v>
      </c>
      <c r="AB235" s="13" t="b">
        <v>0</v>
      </c>
      <c r="AC235" s="13" t="b">
        <v>0</v>
      </c>
      <c r="AE235" s="27"/>
      <c r="AF235" s="27" t="str">
        <f>IFERROR(__xludf.DUMMYFUNCTION("""COMPUTED_VALUE"""),"")</f>
        <v/>
      </c>
      <c r="AG235" s="27"/>
      <c r="AH235" s="27"/>
      <c r="AI235" s="27"/>
    </row>
    <row r="236" hidden="1" outlineLevel="3">
      <c r="A236" s="27" t="s">
        <v>80</v>
      </c>
      <c r="B236" s="30" t="s">
        <v>783</v>
      </c>
      <c r="C236" s="27"/>
      <c r="D236" s="27"/>
      <c r="E236" s="27"/>
      <c r="F236" s="27" t="s">
        <v>784</v>
      </c>
      <c r="G236" s="27"/>
      <c r="H236" s="27"/>
      <c r="I236" s="27"/>
      <c r="J236" s="27"/>
      <c r="K236" s="27"/>
      <c r="L236" s="27"/>
      <c r="M236" s="27"/>
      <c r="O236" s="27"/>
      <c r="P236" s="27"/>
      <c r="AA236" s="13" t="b">
        <v>0</v>
      </c>
      <c r="AB236" s="13" t="b">
        <v>0</v>
      </c>
      <c r="AC236" s="13" t="b">
        <v>0</v>
      </c>
      <c r="AE236" s="27"/>
      <c r="AF236" s="27" t="str">
        <f>IFERROR(__xludf.DUMMYFUNCTION("""COMPUTED_VALUE"""),"")</f>
        <v/>
      </c>
      <c r="AG236" s="27"/>
      <c r="AH236" s="27"/>
      <c r="AI236" s="27"/>
    </row>
    <row r="237" hidden="1" outlineLevel="3">
      <c r="A237" s="27" t="s">
        <v>76</v>
      </c>
      <c r="B237" s="30" t="s">
        <v>785</v>
      </c>
      <c r="C237" s="27" t="s">
        <v>786</v>
      </c>
      <c r="D237" s="27"/>
      <c r="E237" s="27"/>
      <c r="F237" s="27"/>
      <c r="G237" s="27"/>
      <c r="H237" s="27"/>
      <c r="I237" s="27"/>
      <c r="J237" s="27"/>
      <c r="K237" s="27"/>
      <c r="L237" s="27"/>
      <c r="M237" s="27"/>
      <c r="O237" s="27"/>
      <c r="P237" s="27"/>
      <c r="AA237" s="13" t="b">
        <v>0</v>
      </c>
      <c r="AB237" s="13" t="b">
        <v>0</v>
      </c>
      <c r="AC237" s="13" t="b">
        <v>0</v>
      </c>
      <c r="AE237" s="27"/>
      <c r="AF237" s="27" t="str">
        <f>IFERROR(__xludf.DUMMYFUNCTION("""COMPUTED_VALUE"""),"")</f>
        <v/>
      </c>
      <c r="AG237" s="27"/>
      <c r="AH237" s="27"/>
      <c r="AI237" s="27"/>
    </row>
    <row r="238" hidden="1" outlineLevel="3">
      <c r="A238" s="27"/>
      <c r="B238" s="30"/>
      <c r="C238" s="27"/>
      <c r="D238" s="27"/>
      <c r="E238" s="27"/>
      <c r="F238" s="27"/>
      <c r="G238" s="27"/>
      <c r="H238" s="27"/>
      <c r="I238" s="27"/>
      <c r="J238" s="27"/>
      <c r="K238" s="27"/>
      <c r="L238" s="27"/>
      <c r="M238" s="27"/>
      <c r="O238" s="27"/>
      <c r="P238" s="27"/>
      <c r="AA238" s="13" t="b">
        <v>0</v>
      </c>
      <c r="AB238" s="13" t="b">
        <v>0</v>
      </c>
      <c r="AC238" s="13" t="b">
        <v>0</v>
      </c>
      <c r="AE238" s="27"/>
      <c r="AF238" s="27" t="str">
        <f>IFERROR(__xludf.DUMMYFUNCTION("""COMPUTED_VALUE"""),"")</f>
        <v/>
      </c>
      <c r="AG238" s="27"/>
      <c r="AH238" s="27"/>
      <c r="AI238" s="27"/>
    </row>
    <row r="239" hidden="1" outlineLevel="3">
      <c r="A239" s="27" t="s">
        <v>183</v>
      </c>
      <c r="B239" s="30" t="s">
        <v>787</v>
      </c>
      <c r="C239" s="27" t="s">
        <v>788</v>
      </c>
      <c r="D239" s="27" t="s">
        <v>789</v>
      </c>
      <c r="E239" s="27"/>
      <c r="F239" s="27"/>
      <c r="G239" s="27" t="s">
        <v>107</v>
      </c>
      <c r="H239" s="27"/>
      <c r="I239" s="27"/>
      <c r="J239" s="27"/>
      <c r="K239" s="27"/>
      <c r="L239" s="27"/>
      <c r="M239" s="27"/>
      <c r="O239" s="27"/>
      <c r="P239" s="27"/>
      <c r="W239" s="13" t="s">
        <v>790</v>
      </c>
      <c r="Y239" s="13" t="s">
        <v>790</v>
      </c>
      <c r="Z239" s="13" t="s">
        <v>791</v>
      </c>
      <c r="AA239" s="13" t="b">
        <v>0</v>
      </c>
      <c r="AB239" s="13" t="b">
        <v>0</v>
      </c>
      <c r="AC239" s="13" t="b">
        <v>0</v>
      </c>
      <c r="AE239" s="27"/>
      <c r="AF239" s="27" t="str">
        <f>IFERROR(__xludf.DUMMYFUNCTION("""COMPUTED_VALUE"""),"placement-map,maps,hide-input")</f>
        <v>placement-map,maps,hide-input</v>
      </c>
      <c r="AG239" s="27"/>
      <c r="AH239" s="27"/>
      <c r="AI239" s="27"/>
    </row>
    <row r="240" hidden="1" outlineLevel="3">
      <c r="A240" s="27"/>
      <c r="B240" s="30"/>
      <c r="C240" s="27"/>
      <c r="D240" s="27"/>
      <c r="E240" s="27"/>
      <c r="F240" s="27"/>
      <c r="G240" s="27"/>
      <c r="H240" s="27"/>
      <c r="I240" s="27"/>
      <c r="J240" s="27"/>
      <c r="K240" s="27"/>
      <c r="L240" s="27"/>
      <c r="M240" s="27"/>
      <c r="O240" s="27"/>
      <c r="P240" s="27"/>
      <c r="Y240" s="13" t="s">
        <v>45</v>
      </c>
      <c r="AA240" s="13" t="b">
        <v>0</v>
      </c>
      <c r="AB240" s="13" t="b">
        <v>0</v>
      </c>
      <c r="AC240" s="13" t="b">
        <v>0</v>
      </c>
      <c r="AE240" s="27"/>
      <c r="AF240" s="27" t="str">
        <f>IFERROR(__xludf.DUMMYFUNCTION("""COMPUTED_VALUE"""),"")</f>
        <v/>
      </c>
      <c r="AG240" s="27"/>
      <c r="AH240" s="27"/>
      <c r="AI240" s="27"/>
    </row>
    <row r="241" hidden="1" outlineLevel="3">
      <c r="A241" s="27" t="s">
        <v>792</v>
      </c>
      <c r="B241" s="30" t="s">
        <v>793</v>
      </c>
      <c r="C241" s="27" t="s">
        <v>794</v>
      </c>
      <c r="D241" s="27" t="s">
        <v>795</v>
      </c>
      <c r="E241" s="27"/>
      <c r="F241" s="27"/>
      <c r="G241" s="27"/>
      <c r="H241" s="27"/>
      <c r="I241" s="27"/>
      <c r="J241" s="27" t="s">
        <v>796</v>
      </c>
      <c r="K241" s="27"/>
      <c r="L241" s="27"/>
      <c r="M241" s="27"/>
      <c r="O241" s="27"/>
      <c r="P241" s="27"/>
      <c r="W241" s="13" t="s">
        <v>797</v>
      </c>
      <c r="Y241" s="13" t="s">
        <v>797</v>
      </c>
      <c r="AA241" s="13" t="b">
        <v>0</v>
      </c>
      <c r="AB241" s="13" t="b">
        <v>0</v>
      </c>
      <c r="AC241" s="13" t="b">
        <v>0</v>
      </c>
      <c r="AE241" s="27"/>
      <c r="AF241" s="27" t="str">
        <f>IFERROR(__xludf.DUMMYFUNCTION("""COMPUTED_VALUE"""),"quick,likert,map,minimal,search,columns-pack,columns,columns-n,no-buttons,image-map,label,list-nolabel,list")</f>
        <v>quick,likert,map,minimal,search,columns-pack,columns,columns-n,no-buttons,image-map,label,list-nolabel,list</v>
      </c>
      <c r="AG241" s="27"/>
      <c r="AH241" s="27"/>
      <c r="AI241" s="27"/>
    </row>
    <row r="242" hidden="1" outlineLevel="3">
      <c r="A242" s="27" t="s">
        <v>798</v>
      </c>
      <c r="B242" s="30" t="s">
        <v>799</v>
      </c>
      <c r="C242" s="27" t="s">
        <v>800</v>
      </c>
      <c r="D242" s="27" t="s">
        <v>801</v>
      </c>
      <c r="E242" s="27"/>
      <c r="F242" s="27"/>
      <c r="G242" s="27" t="s">
        <v>107</v>
      </c>
      <c r="H242" s="27"/>
      <c r="I242" s="27"/>
      <c r="J242" s="27"/>
      <c r="K242" s="27"/>
      <c r="L242" s="27"/>
      <c r="M242" s="27"/>
      <c r="O242" s="27"/>
      <c r="P242" s="27"/>
      <c r="W242" s="13" t="s">
        <v>802</v>
      </c>
      <c r="Y242" s="13" t="s">
        <v>802</v>
      </c>
      <c r="AA242" s="13" t="b">
        <v>0</v>
      </c>
      <c r="AB242" s="13" t="b">
        <v>0</v>
      </c>
      <c r="AC242" s="13" t="b">
        <v>0</v>
      </c>
      <c r="AE242" s="27"/>
      <c r="AF242" s="27" t="str">
        <f>IFERROR(__xludf.DUMMYFUNCTION("""COMPUTED_VALUE"""),"")</f>
        <v/>
      </c>
      <c r="AG242" s="27"/>
      <c r="AH242" s="27"/>
      <c r="AI242" s="27"/>
    </row>
    <row r="243" hidden="1" outlineLevel="3">
      <c r="A243" s="27" t="s">
        <v>183</v>
      </c>
      <c r="B243" s="30" t="s">
        <v>803</v>
      </c>
      <c r="C243" s="27" t="s">
        <v>804</v>
      </c>
      <c r="D243" s="27" t="s">
        <v>801</v>
      </c>
      <c r="E243" s="27"/>
      <c r="F243" s="27"/>
      <c r="G243" s="27"/>
      <c r="H243" s="27"/>
      <c r="I243" s="27"/>
      <c r="J243" s="27"/>
      <c r="K243" s="27"/>
      <c r="L243" s="27"/>
      <c r="M243" s="27"/>
      <c r="O243" s="27"/>
      <c r="P243" s="27"/>
      <c r="W243" s="13" t="s">
        <v>805</v>
      </c>
      <c r="Y243" s="13" t="s">
        <v>805</v>
      </c>
      <c r="Z243" s="13" t="s">
        <v>806</v>
      </c>
      <c r="AA243" s="13" t="b">
        <v>0</v>
      </c>
      <c r="AB243" s="13" t="b">
        <v>0</v>
      </c>
      <c r="AC243" s="13" t="b">
        <v>0</v>
      </c>
      <c r="AE243" s="27"/>
      <c r="AF243" s="27" t="str">
        <f>IFERROR(__xludf.DUMMYFUNCTION("""COMPUTED_VALUE"""),"placement-map,maps,hide-input")</f>
        <v>placement-map,maps,hide-input</v>
      </c>
      <c r="AG243" s="27"/>
      <c r="AH243" s="27"/>
      <c r="AI243" s="27"/>
    </row>
    <row r="244" hidden="1" outlineLevel="3">
      <c r="A244" s="27"/>
      <c r="B244" s="30"/>
      <c r="C244" s="27"/>
      <c r="D244" s="27"/>
      <c r="E244" s="27"/>
      <c r="F244" s="27"/>
      <c r="G244" s="27"/>
      <c r="H244" s="27"/>
      <c r="I244" s="27"/>
      <c r="J244" s="27"/>
      <c r="K244" s="27"/>
      <c r="L244" s="27"/>
      <c r="M244" s="27"/>
      <c r="O244" s="27"/>
      <c r="P244" s="27"/>
      <c r="Y244" s="13" t="s">
        <v>45</v>
      </c>
      <c r="AA244" s="13" t="b">
        <v>0</v>
      </c>
      <c r="AB244" s="13" t="b">
        <v>0</v>
      </c>
      <c r="AC244" s="13" t="b">
        <v>0</v>
      </c>
      <c r="AE244" s="27"/>
      <c r="AF244" s="27" t="str">
        <f>IFERROR(__xludf.DUMMYFUNCTION("""COMPUTED_VALUE"""),"")</f>
        <v/>
      </c>
      <c r="AG244" s="27"/>
      <c r="AH244" s="27"/>
      <c r="AI244" s="27"/>
    </row>
    <row r="245" hidden="1" outlineLevel="3">
      <c r="A245" s="27" t="s">
        <v>341</v>
      </c>
      <c r="B245" s="30" t="s">
        <v>807</v>
      </c>
      <c r="C245" s="27" t="s">
        <v>808</v>
      </c>
      <c r="D245" s="27"/>
      <c r="E245" s="27" t="s">
        <v>809</v>
      </c>
      <c r="F245" s="27"/>
      <c r="G245" s="27" t="s">
        <v>107</v>
      </c>
      <c r="H245" s="27" t="s">
        <v>393</v>
      </c>
      <c r="I245" s="27"/>
      <c r="J245" s="37" t="s">
        <v>810</v>
      </c>
      <c r="K245" s="27"/>
      <c r="L245" s="27"/>
      <c r="M245" s="27"/>
      <c r="O245" s="27"/>
      <c r="P245" s="27"/>
      <c r="W245" s="13" t="s">
        <v>811</v>
      </c>
      <c r="Y245" s="13" t="s">
        <v>811</v>
      </c>
      <c r="AA245" s="13" t="b">
        <v>0</v>
      </c>
      <c r="AB245" s="13" t="b">
        <v>0</v>
      </c>
      <c r="AC245" s="13" t="b">
        <v>0</v>
      </c>
      <c r="AE245" s="27"/>
      <c r="AF245" s="27" t="str">
        <f>IFERROR(__xludf.DUMMYFUNCTION("""COMPUTED_VALUE"""),"no-calendar,month-year,year,ethiopian,coptic,islamic,bikram-sambat,myanmar,persian")</f>
        <v>no-calendar,month-year,year,ethiopian,coptic,islamic,bikram-sambat,myanmar,persian</v>
      </c>
      <c r="AG245" s="27"/>
      <c r="AH245" s="27"/>
      <c r="AI245" s="27"/>
    </row>
    <row r="246" hidden="1" outlineLevel="3">
      <c r="A246" s="27" t="s">
        <v>341</v>
      </c>
      <c r="B246" s="30" t="s">
        <v>812</v>
      </c>
      <c r="C246" s="27" t="s">
        <v>813</v>
      </c>
      <c r="D246" s="27"/>
      <c r="E246" s="27"/>
      <c r="F246" s="27"/>
      <c r="G246" s="27"/>
      <c r="H246" s="27" t="s">
        <v>393</v>
      </c>
      <c r="I246" s="27"/>
      <c r="J246" s="37" t="s">
        <v>810</v>
      </c>
      <c r="K246" s="27"/>
      <c r="L246" s="27"/>
      <c r="M246" s="27"/>
      <c r="O246" s="27"/>
      <c r="P246" s="27"/>
      <c r="W246" s="13" t="s">
        <v>811</v>
      </c>
      <c r="Y246" s="13" t="s">
        <v>811</v>
      </c>
      <c r="AA246" s="13" t="b">
        <v>0</v>
      </c>
      <c r="AB246" s="13" t="b">
        <v>0</v>
      </c>
      <c r="AC246" s="13" t="b">
        <v>0</v>
      </c>
      <c r="AE246" s="27"/>
      <c r="AF246" s="27" t="str">
        <f>IFERROR(__xludf.DUMMYFUNCTION("""COMPUTED_VALUE"""),"no-calendar,month-year,year,ethiopian,coptic,islamic,bikram-sambat,myanmar,persian")</f>
        <v>no-calendar,month-year,year,ethiopian,coptic,islamic,bikram-sambat,myanmar,persian</v>
      </c>
      <c r="AG246" s="27"/>
      <c r="AH246" s="27"/>
      <c r="AI246" s="27"/>
    </row>
    <row r="247" hidden="1" outlineLevel="3">
      <c r="A247" s="27" t="s">
        <v>80</v>
      </c>
      <c r="B247" s="30" t="s">
        <v>814</v>
      </c>
      <c r="C247" s="27"/>
      <c r="D247" s="27"/>
      <c r="E247" s="27"/>
      <c r="F247" s="27" t="s">
        <v>815</v>
      </c>
      <c r="G247" s="27"/>
      <c r="H247" s="27"/>
      <c r="I247" s="27"/>
      <c r="J247" s="27"/>
      <c r="K247" s="27"/>
      <c r="L247" s="27"/>
      <c r="M247" s="27"/>
      <c r="O247" s="27"/>
      <c r="P247" s="27"/>
      <c r="AA247" s="13" t="b">
        <v>0</v>
      </c>
      <c r="AB247" s="13" t="b">
        <v>0</v>
      </c>
      <c r="AC247" s="13" t="b">
        <v>0</v>
      </c>
      <c r="AE247" s="27"/>
      <c r="AF247" s="27" t="str">
        <f>IFERROR(__xludf.DUMMYFUNCTION("""COMPUTED_VALUE"""),"")</f>
        <v/>
      </c>
      <c r="AG247" s="27"/>
      <c r="AH247" s="27"/>
      <c r="AI247" s="27"/>
    </row>
    <row r="248" hidden="1" outlineLevel="3">
      <c r="A248" s="27" t="s">
        <v>76</v>
      </c>
      <c r="B248" s="30" t="s">
        <v>816</v>
      </c>
      <c r="C248" s="27" t="s">
        <v>817</v>
      </c>
      <c r="D248" s="27" t="s">
        <v>818</v>
      </c>
      <c r="E248" s="27"/>
      <c r="F248" s="27"/>
      <c r="G248" s="27"/>
      <c r="H248" s="27"/>
      <c r="I248" s="27"/>
      <c r="J248" s="27"/>
      <c r="K248" s="27"/>
      <c r="L248" s="27"/>
      <c r="M248" s="27"/>
      <c r="O248" s="27"/>
      <c r="P248" s="27"/>
      <c r="AA248" s="13" t="b">
        <v>0</v>
      </c>
      <c r="AB248" s="13" t="b">
        <v>0</v>
      </c>
      <c r="AC248" s="13" t="b">
        <v>0</v>
      </c>
      <c r="AE248" s="27"/>
      <c r="AF248" s="27" t="str">
        <f>IFERROR(__xludf.DUMMYFUNCTION("""COMPUTED_VALUE"""),"")</f>
        <v/>
      </c>
      <c r="AG248" s="27"/>
      <c r="AH248" s="27"/>
      <c r="AI248" s="27"/>
    </row>
    <row r="249" hidden="1" outlineLevel="3">
      <c r="A249" s="27" t="s">
        <v>819</v>
      </c>
      <c r="B249" s="30" t="s">
        <v>820</v>
      </c>
      <c r="C249" s="27" t="s">
        <v>821</v>
      </c>
      <c r="D249" s="27"/>
      <c r="E249" s="27"/>
      <c r="F249" s="27"/>
      <c r="G249" s="27"/>
      <c r="H249" s="27"/>
      <c r="I249" s="27"/>
      <c r="J249" s="38" t="s">
        <v>822</v>
      </c>
      <c r="K249" s="27"/>
      <c r="L249" s="27"/>
      <c r="M249" s="27"/>
      <c r="O249" s="27"/>
      <c r="P249" s="27"/>
      <c r="W249" s="13" t="s">
        <v>823</v>
      </c>
      <c r="Y249" s="13" t="s">
        <v>823</v>
      </c>
      <c r="AA249" s="13" t="b">
        <v>0</v>
      </c>
      <c r="AB249" s="13" t="b">
        <v>0</v>
      </c>
      <c r="AC249" s="13" t="b">
        <v>0</v>
      </c>
      <c r="AE249" s="27"/>
      <c r="AF249" s="27" t="str">
        <f>IFERROR(__xludf.DUMMYFUNCTION("""COMPUTED_VALUE"""),"")</f>
        <v/>
      </c>
      <c r="AG249" s="27"/>
      <c r="AH249" s="27"/>
      <c r="AI249" s="27"/>
    </row>
    <row r="250" hidden="1" outlineLevel="3" collapsed="1">
      <c r="A250" s="27" t="s">
        <v>113</v>
      </c>
      <c r="B250" s="30" t="s">
        <v>824</v>
      </c>
      <c r="C250" s="27"/>
      <c r="D250" s="27" t="s">
        <v>825</v>
      </c>
      <c r="E250" s="27"/>
      <c r="F250" s="27"/>
      <c r="G250" s="27"/>
      <c r="H250" s="27"/>
      <c r="I250" s="27"/>
      <c r="J250" s="38"/>
      <c r="K250" s="27"/>
      <c r="L250" s="27"/>
      <c r="M250" s="27"/>
      <c r="N250" s="13"/>
      <c r="O250" s="27"/>
      <c r="P250" s="27"/>
      <c r="Q250" s="13"/>
      <c r="R250" s="13"/>
      <c r="S250" s="13"/>
      <c r="T250" s="13"/>
      <c r="U250" s="13"/>
      <c r="V250" s="13"/>
      <c r="W250" s="13"/>
      <c r="X250" s="13"/>
      <c r="Y250" s="13" t="s">
        <v>45</v>
      </c>
      <c r="Z250" s="13"/>
      <c r="AA250" s="13" t="b">
        <v>0</v>
      </c>
      <c r="AB250" s="13" t="b">
        <v>0</v>
      </c>
      <c r="AC250" s="13" t="b">
        <v>0</v>
      </c>
      <c r="AD250" s="13"/>
      <c r="AE250" s="27"/>
      <c r="AF250" s="27" t="str">
        <f>IFERROR(__xludf.DUMMYFUNCTION("""COMPUTED_VALUE"""),"")</f>
        <v/>
      </c>
      <c r="AG250" s="27"/>
      <c r="AH250" s="27"/>
      <c r="AI250" s="27"/>
    </row>
    <row r="251" hidden="1" outlineLevel="4">
      <c r="A251" s="27" t="s">
        <v>826</v>
      </c>
      <c r="B251" s="30" t="s">
        <v>827</v>
      </c>
      <c r="C251" s="27" t="s">
        <v>828</v>
      </c>
      <c r="D251" s="27"/>
      <c r="E251" s="27"/>
      <c r="F251" s="27"/>
      <c r="G251" s="27"/>
      <c r="H251" s="27"/>
      <c r="I251" s="27"/>
      <c r="J251" s="27" t="s">
        <v>829</v>
      </c>
      <c r="K251" s="27"/>
      <c r="L251" s="27"/>
      <c r="M251" s="27"/>
      <c r="O251" s="27"/>
      <c r="P251" s="27"/>
      <c r="W251" s="13" t="s">
        <v>830</v>
      </c>
      <c r="Y251" s="13" t="s">
        <v>830</v>
      </c>
      <c r="AA251" s="13" t="b">
        <v>0</v>
      </c>
      <c r="AB251" s="13" t="b">
        <v>0</v>
      </c>
      <c r="AC251" s="13" t="b">
        <v>0</v>
      </c>
      <c r="AE251" s="27"/>
      <c r="AF251" s="27" t="str">
        <f>IFERROR(__xludf.DUMMYFUNCTION("""COMPUTED_VALUE"""),"quick,likert,map,minimal,search,columns-pack,columns,columns-n,no-buttons,image-map,label,list-nolabel,list")</f>
        <v>quick,likert,map,minimal,search,columns-pack,columns,columns-n,no-buttons,image-map,label,list-nolabel,list</v>
      </c>
      <c r="AG251" s="27"/>
      <c r="AH251" s="27"/>
      <c r="AI251" s="27"/>
    </row>
    <row r="252" hidden="1" outlineLevel="4">
      <c r="A252" s="27" t="s">
        <v>80</v>
      </c>
      <c r="B252" s="30" t="s">
        <v>831</v>
      </c>
      <c r="C252" s="27"/>
      <c r="D252" s="27"/>
      <c r="E252" s="27"/>
      <c r="F252" s="27" t="s">
        <v>832</v>
      </c>
      <c r="G252" s="27"/>
      <c r="H252" s="27"/>
      <c r="I252" s="27"/>
      <c r="J252" s="38"/>
      <c r="K252" s="27"/>
      <c r="L252" s="27"/>
      <c r="M252" s="27"/>
      <c r="O252" s="27"/>
      <c r="P252" s="27"/>
      <c r="Y252" s="13" t="s">
        <v>45</v>
      </c>
      <c r="AA252" s="13" t="b">
        <v>0</v>
      </c>
      <c r="AB252" s="13" t="b">
        <v>0</v>
      </c>
      <c r="AC252" s="13" t="b">
        <v>0</v>
      </c>
      <c r="AE252" s="27"/>
      <c r="AF252" s="27" t="str">
        <f>IFERROR(__xludf.DUMMYFUNCTION("""COMPUTED_VALUE"""),"")</f>
        <v/>
      </c>
      <c r="AG252" s="27"/>
      <c r="AH252" s="27"/>
      <c r="AI252" s="27"/>
    </row>
    <row r="253" hidden="1" outlineLevel="4">
      <c r="A253" s="27"/>
      <c r="B253" s="30"/>
      <c r="C253" s="27"/>
      <c r="D253" s="27"/>
      <c r="E253" s="27"/>
      <c r="F253" s="27"/>
      <c r="G253" s="27"/>
      <c r="H253" s="27"/>
      <c r="I253" s="27"/>
      <c r="J253" s="38"/>
      <c r="K253" s="27"/>
      <c r="L253" s="27"/>
      <c r="M253" s="27"/>
      <c r="O253" s="27"/>
      <c r="P253" s="27"/>
      <c r="Y253" s="13" t="s">
        <v>45</v>
      </c>
      <c r="AA253" s="13" t="b">
        <v>0</v>
      </c>
      <c r="AB253" s="13" t="b">
        <v>0</v>
      </c>
      <c r="AC253" s="13" t="b">
        <v>0</v>
      </c>
      <c r="AE253" s="27"/>
      <c r="AF253" s="27" t="str">
        <f>IFERROR(__xludf.DUMMYFUNCTION("""COMPUTED_VALUE"""),"")</f>
        <v/>
      </c>
      <c r="AG253" s="27"/>
      <c r="AH253" s="27"/>
      <c r="AI253" s="27"/>
    </row>
    <row r="254" hidden="1" outlineLevel="4" collapsed="1">
      <c r="A254" s="27" t="s">
        <v>113</v>
      </c>
      <c r="B254" s="30" t="s">
        <v>833</v>
      </c>
      <c r="C254" s="27" t="s">
        <v>834</v>
      </c>
      <c r="D254" s="27" t="s">
        <v>835</v>
      </c>
      <c r="E254" s="27"/>
      <c r="F254" s="27"/>
      <c r="G254" s="27"/>
      <c r="H254" s="27"/>
      <c r="I254" s="27"/>
      <c r="J254" s="38"/>
      <c r="K254" s="27"/>
      <c r="L254" s="27"/>
      <c r="M254" s="27"/>
      <c r="N254" s="13"/>
      <c r="O254" s="27"/>
      <c r="P254" s="27"/>
      <c r="Q254" s="13"/>
      <c r="R254" s="13"/>
      <c r="S254" s="13"/>
      <c r="T254" s="13"/>
      <c r="U254" s="13"/>
      <c r="V254" s="13"/>
      <c r="W254" s="13" t="s">
        <v>836</v>
      </c>
      <c r="X254" s="13"/>
      <c r="Y254" s="13" t="s">
        <v>836</v>
      </c>
      <c r="Z254" s="13"/>
      <c r="AA254" s="13" t="b">
        <v>0</v>
      </c>
      <c r="AB254" s="13" t="b">
        <v>0</v>
      </c>
      <c r="AC254" s="13" t="b">
        <v>0</v>
      </c>
      <c r="AD254" s="13"/>
      <c r="AE254" s="27"/>
      <c r="AF254" s="27" t="str">
        <f>IFERROR(__xludf.DUMMYFUNCTION("""COMPUTED_VALUE"""),"")</f>
        <v/>
      </c>
      <c r="AG254" s="27"/>
      <c r="AH254" s="27"/>
      <c r="AI254" s="27"/>
    </row>
    <row r="255" hidden="1" outlineLevel="5">
      <c r="A255" s="27" t="s">
        <v>837</v>
      </c>
      <c r="B255" s="30" t="s">
        <v>838</v>
      </c>
      <c r="C255" s="27" t="s">
        <v>839</v>
      </c>
      <c r="D255" s="27"/>
      <c r="E255" s="27"/>
      <c r="F255" s="27" t="s">
        <v>840</v>
      </c>
      <c r="G255" s="27"/>
      <c r="H255" s="27"/>
      <c r="I255" s="27"/>
      <c r="J255" s="38"/>
      <c r="K255" s="27"/>
      <c r="L255" s="27"/>
      <c r="M255" s="27"/>
      <c r="O255" s="27"/>
      <c r="P255" s="27" t="s">
        <v>841</v>
      </c>
      <c r="W255" s="13" t="s">
        <v>842</v>
      </c>
      <c r="Y255" s="13" t="s">
        <v>842</v>
      </c>
      <c r="AA255" s="13" t="b">
        <v>0</v>
      </c>
      <c r="AB255" s="13" t="b">
        <v>0</v>
      </c>
      <c r="AC255" s="13" t="b">
        <v>0</v>
      </c>
      <c r="AE255" s="27"/>
      <c r="AF255" s="27" t="str">
        <f>IFERROR(__xludf.DUMMYFUNCTION("""COMPUTED_VALUE"""),"quick,likert,map,minimal,search,columns-pack,columns,columns-n,no-buttons,image-map,label,list-nolabel,list")</f>
        <v>quick,likert,map,minimal,search,columns-pack,columns,columns-n,no-buttons,image-map,label,list-nolabel,list</v>
      </c>
      <c r="AG255" s="27"/>
      <c r="AH255" s="27"/>
      <c r="AI255" s="27"/>
    </row>
    <row r="256" hidden="1" outlineLevel="5">
      <c r="A256" s="27" t="s">
        <v>80</v>
      </c>
      <c r="B256" s="30" t="s">
        <v>843</v>
      </c>
      <c r="C256" s="27"/>
      <c r="D256" s="27"/>
      <c r="E256" s="27"/>
      <c r="F256" s="27" t="s">
        <v>844</v>
      </c>
      <c r="G256" s="27"/>
      <c r="H256" s="27"/>
      <c r="I256" s="27"/>
      <c r="J256" s="38"/>
      <c r="K256" s="27"/>
      <c r="L256" s="27"/>
      <c r="M256" s="27"/>
      <c r="O256" s="27"/>
      <c r="P256" s="27"/>
      <c r="Y256" s="13" t="s">
        <v>45</v>
      </c>
      <c r="AA256" s="13" t="b">
        <v>0</v>
      </c>
      <c r="AB256" s="13" t="b">
        <v>0</v>
      </c>
      <c r="AC256" s="13" t="b">
        <v>0</v>
      </c>
      <c r="AE256" s="27"/>
      <c r="AF256" s="27" t="str">
        <f>IFERROR(__xludf.DUMMYFUNCTION("""COMPUTED_VALUE"""),"")</f>
        <v/>
      </c>
      <c r="AG256" s="27"/>
      <c r="AH256" s="27"/>
      <c r="AI256" s="27"/>
    </row>
    <row r="257" hidden="1" outlineLevel="5">
      <c r="A257" s="27" t="s">
        <v>80</v>
      </c>
      <c r="B257" s="30" t="s">
        <v>845</v>
      </c>
      <c r="C257" s="27"/>
      <c r="D257" s="27"/>
      <c r="E257" s="27"/>
      <c r="F257" s="27" t="s">
        <v>846</v>
      </c>
      <c r="G257" s="27"/>
      <c r="H257" s="27"/>
      <c r="I257" s="27"/>
      <c r="J257" s="39"/>
      <c r="K257" s="27"/>
      <c r="L257" s="27"/>
      <c r="M257" s="27"/>
      <c r="O257" s="27"/>
      <c r="P257" s="27"/>
      <c r="Y257" s="13" t="s">
        <v>45</v>
      </c>
      <c r="AA257" s="13" t="b">
        <v>0</v>
      </c>
      <c r="AB257" s="13" t="b">
        <v>0</v>
      </c>
      <c r="AC257" s="13" t="b">
        <v>0</v>
      </c>
      <c r="AE257" s="27"/>
      <c r="AF257" s="27" t="str">
        <f>IFERROR(__xludf.DUMMYFUNCTION("""COMPUTED_VALUE"""),"")</f>
        <v/>
      </c>
      <c r="AG257" s="27"/>
      <c r="AH257" s="27"/>
      <c r="AI257" s="27"/>
    </row>
    <row r="258" hidden="1" outlineLevel="5">
      <c r="A258" s="27" t="s">
        <v>80</v>
      </c>
      <c r="B258" s="30" t="s">
        <v>847</v>
      </c>
      <c r="C258" s="27"/>
      <c r="D258" s="27"/>
      <c r="E258" s="27"/>
      <c r="F258" s="27" t="s">
        <v>846</v>
      </c>
      <c r="G258" s="27"/>
      <c r="H258" s="27"/>
      <c r="I258" s="27"/>
      <c r="J258" s="39"/>
      <c r="K258" s="27"/>
      <c r="L258" s="27"/>
      <c r="M258" s="27"/>
      <c r="O258" s="27"/>
      <c r="P258" s="27"/>
      <c r="Y258" s="13" t="s">
        <v>45</v>
      </c>
      <c r="AA258" s="13" t="b">
        <v>0</v>
      </c>
      <c r="AB258" s="13" t="b">
        <v>0</v>
      </c>
      <c r="AC258" s="13" t="b">
        <v>0</v>
      </c>
      <c r="AE258" s="27"/>
      <c r="AF258" s="27" t="str">
        <f>IFERROR(__xludf.DUMMYFUNCTION("""COMPUTED_VALUE"""),"")</f>
        <v/>
      </c>
      <c r="AG258" s="27"/>
      <c r="AH258" s="27"/>
      <c r="AI258" s="27"/>
    </row>
    <row r="259" hidden="1" outlineLevel="5">
      <c r="A259" s="27" t="s">
        <v>80</v>
      </c>
      <c r="B259" s="30" t="s">
        <v>848</v>
      </c>
      <c r="C259" s="27"/>
      <c r="D259" s="27"/>
      <c r="E259" s="27"/>
      <c r="F259" s="27" t="s">
        <v>849</v>
      </c>
      <c r="G259" s="27"/>
      <c r="H259" s="27"/>
      <c r="I259" s="27"/>
      <c r="J259" s="39"/>
      <c r="K259" s="27"/>
      <c r="L259" s="27"/>
      <c r="M259" s="27"/>
      <c r="O259" s="27"/>
      <c r="P259" s="27"/>
      <c r="Y259" s="13" t="s">
        <v>45</v>
      </c>
      <c r="AA259" s="13" t="b">
        <v>0</v>
      </c>
      <c r="AB259" s="13" t="b">
        <v>0</v>
      </c>
      <c r="AC259" s="13" t="b">
        <v>0</v>
      </c>
      <c r="AE259" s="27"/>
      <c r="AF259" s="27" t="str">
        <f>IFERROR(__xludf.DUMMYFUNCTION("""COMPUTED_VALUE"""),"")</f>
        <v/>
      </c>
      <c r="AG259" s="27"/>
      <c r="AH259" s="27"/>
      <c r="AI259" s="27"/>
    </row>
    <row r="260" hidden="1" outlineLevel="5">
      <c r="A260" s="27" t="s">
        <v>150</v>
      </c>
      <c r="B260" s="30" t="s">
        <v>850</v>
      </c>
      <c r="C260" s="27" t="s">
        <v>851</v>
      </c>
      <c r="D260" s="27" t="s">
        <v>852</v>
      </c>
      <c r="E260" s="27"/>
      <c r="F260" s="27" t="s">
        <v>853</v>
      </c>
      <c r="G260" s="27"/>
      <c r="H260" s="27"/>
      <c r="I260" s="27"/>
      <c r="J260" s="39"/>
      <c r="K260" s="27"/>
      <c r="L260" s="27"/>
      <c r="M260" s="27"/>
      <c r="O260" s="27"/>
      <c r="P260" s="27" t="s">
        <v>841</v>
      </c>
      <c r="W260" s="13" t="s">
        <v>854</v>
      </c>
      <c r="Y260" s="13" t="s">
        <v>854</v>
      </c>
      <c r="AA260" s="13" t="b">
        <v>0</v>
      </c>
      <c r="AB260" s="13" t="b">
        <v>0</v>
      </c>
      <c r="AC260" s="13" t="b">
        <v>0</v>
      </c>
      <c r="AE260" s="27"/>
      <c r="AF260" s="27" t="str">
        <f>IFERROR(__xludf.DUMMYFUNCTION("""COMPUTED_VALUE"""),"ex:,thousands-sep,counter")</f>
        <v>ex:,thousands-sep,counter</v>
      </c>
      <c r="AG260" s="27"/>
      <c r="AH260" s="27"/>
      <c r="AI260" s="27"/>
    </row>
    <row r="261" hidden="1" outlineLevel="5">
      <c r="A261" s="27" t="s">
        <v>150</v>
      </c>
      <c r="B261" s="30" t="s">
        <v>855</v>
      </c>
      <c r="C261" s="27" t="s">
        <v>856</v>
      </c>
      <c r="D261" s="27" t="s">
        <v>857</v>
      </c>
      <c r="E261" s="27"/>
      <c r="F261" s="27" t="s">
        <v>858</v>
      </c>
      <c r="G261" s="27"/>
      <c r="H261" s="27"/>
      <c r="I261" s="27"/>
      <c r="J261" s="39"/>
      <c r="K261" s="27"/>
      <c r="L261" s="27"/>
      <c r="M261" s="27"/>
      <c r="O261" s="27"/>
      <c r="P261" s="27" t="s">
        <v>841</v>
      </c>
      <c r="W261" s="13" t="s">
        <v>859</v>
      </c>
      <c r="Y261" s="13" t="s">
        <v>859</v>
      </c>
      <c r="AA261" s="13" t="b">
        <v>0</v>
      </c>
      <c r="AB261" s="13" t="b">
        <v>0</v>
      </c>
      <c r="AC261" s="13" t="b">
        <v>0</v>
      </c>
      <c r="AE261" s="27"/>
      <c r="AF261" s="27" t="str">
        <f>IFERROR(__xludf.DUMMYFUNCTION("""COMPUTED_VALUE"""),"ex:,thousands-sep,counter")</f>
        <v>ex:,thousands-sep,counter</v>
      </c>
      <c r="AG261" s="27"/>
      <c r="AH261" s="27"/>
      <c r="AI261" s="27"/>
    </row>
    <row r="262" hidden="1" outlineLevel="5">
      <c r="A262" s="27" t="s">
        <v>150</v>
      </c>
      <c r="B262" s="30" t="s">
        <v>860</v>
      </c>
      <c r="C262" s="27" t="s">
        <v>861</v>
      </c>
      <c r="D262" s="27" t="s">
        <v>857</v>
      </c>
      <c r="E262" s="27"/>
      <c r="F262" s="27" t="s">
        <v>862</v>
      </c>
      <c r="G262" s="27"/>
      <c r="H262" s="27"/>
      <c r="I262" s="27"/>
      <c r="J262" s="39"/>
      <c r="K262" s="27"/>
      <c r="L262" s="27"/>
      <c r="M262" s="27"/>
      <c r="O262" s="27"/>
      <c r="P262" s="27" t="s">
        <v>841</v>
      </c>
      <c r="W262" s="13" t="s">
        <v>863</v>
      </c>
      <c r="Y262" s="13" t="s">
        <v>863</v>
      </c>
      <c r="AA262" s="13" t="b">
        <v>0</v>
      </c>
      <c r="AB262" s="13" t="b">
        <v>0</v>
      </c>
      <c r="AC262" s="13" t="b">
        <v>0</v>
      </c>
      <c r="AE262" s="27"/>
      <c r="AF262" s="27" t="str">
        <f>IFERROR(__xludf.DUMMYFUNCTION("""COMPUTED_VALUE"""),"ex:,thousands-sep,counter")</f>
        <v>ex:,thousands-sep,counter</v>
      </c>
      <c r="AG262" s="27"/>
      <c r="AH262" s="27"/>
      <c r="AI262" s="27"/>
    </row>
    <row r="263" hidden="1" outlineLevel="5">
      <c r="A263" s="27" t="s">
        <v>150</v>
      </c>
      <c r="B263" s="30" t="s">
        <v>864</v>
      </c>
      <c r="C263" s="27" t="s">
        <v>865</v>
      </c>
      <c r="D263" s="27"/>
      <c r="E263" s="27"/>
      <c r="F263" s="27" t="s">
        <v>866</v>
      </c>
      <c r="G263" s="27"/>
      <c r="H263" s="27"/>
      <c r="I263" s="27"/>
      <c r="J263" s="39"/>
      <c r="K263" s="27"/>
      <c r="L263" s="27"/>
      <c r="M263" s="27"/>
      <c r="O263" s="27"/>
      <c r="P263" s="27" t="s">
        <v>841</v>
      </c>
      <c r="W263" s="13" t="s">
        <v>867</v>
      </c>
      <c r="Y263" s="13" t="s">
        <v>867</v>
      </c>
      <c r="AA263" s="13" t="b">
        <v>0</v>
      </c>
      <c r="AB263" s="13" t="b">
        <v>0</v>
      </c>
      <c r="AC263" s="13" t="b">
        <v>0</v>
      </c>
      <c r="AE263" s="27"/>
      <c r="AF263" s="27" t="str">
        <f>IFERROR(__xludf.DUMMYFUNCTION("""COMPUTED_VALUE"""),"ex:,thousands-sep,counter")</f>
        <v>ex:,thousands-sep,counter</v>
      </c>
      <c r="AG263" s="27"/>
      <c r="AH263" s="27"/>
      <c r="AI263" s="27"/>
    </row>
    <row r="264" hidden="1" outlineLevel="4">
      <c r="A264" s="27" t="s">
        <v>283</v>
      </c>
      <c r="B264" s="30"/>
      <c r="C264" s="27"/>
      <c r="D264" s="27"/>
      <c r="E264" s="27"/>
      <c r="F264" s="27"/>
      <c r="G264" s="27"/>
      <c r="H264" s="27"/>
      <c r="I264" s="27"/>
      <c r="J264" s="39"/>
      <c r="K264" s="27"/>
      <c r="L264" s="27"/>
      <c r="M264" s="27"/>
      <c r="N264" s="13"/>
      <c r="O264" s="27"/>
      <c r="P264" s="27"/>
      <c r="Q264" s="13"/>
      <c r="R264" s="13"/>
      <c r="S264" s="13"/>
      <c r="T264" s="13"/>
      <c r="U264" s="13"/>
      <c r="V264" s="13"/>
      <c r="W264" s="13"/>
      <c r="X264" s="13"/>
      <c r="Y264" s="13" t="s">
        <v>45</v>
      </c>
      <c r="Z264" s="13"/>
      <c r="AA264" s="13" t="b">
        <v>0</v>
      </c>
      <c r="AB264" s="13" t="b">
        <v>0</v>
      </c>
      <c r="AC264" s="13" t="b">
        <v>0</v>
      </c>
      <c r="AD264" s="13"/>
      <c r="AE264" s="27"/>
      <c r="AF264" s="27" t="str">
        <f>IFERROR(__xludf.DUMMYFUNCTION("""COMPUTED_VALUE"""),"")</f>
        <v/>
      </c>
      <c r="AG264" s="27"/>
      <c r="AH264" s="27"/>
      <c r="AI264" s="27"/>
    </row>
    <row r="265" hidden="1" outlineLevel="4">
      <c r="A265" s="27" t="s">
        <v>80</v>
      </c>
      <c r="B265" s="30" t="s">
        <v>868</v>
      </c>
      <c r="C265" s="27"/>
      <c r="D265" s="27"/>
      <c r="E265" s="27"/>
      <c r="F265" s="27" t="s">
        <v>869</v>
      </c>
      <c r="G265" s="27"/>
      <c r="H265" s="27"/>
      <c r="I265" s="27"/>
      <c r="J265" s="27"/>
      <c r="K265" s="27"/>
      <c r="L265" s="27"/>
      <c r="M265" s="27"/>
      <c r="O265" s="27"/>
      <c r="P265" s="27"/>
      <c r="Y265" s="13" t="s">
        <v>45</v>
      </c>
      <c r="AA265" s="13" t="b">
        <v>0</v>
      </c>
      <c r="AB265" s="13" t="b">
        <v>0</v>
      </c>
      <c r="AC265" s="13" t="b">
        <v>0</v>
      </c>
      <c r="AE265" s="27"/>
      <c r="AF265" s="27" t="str">
        <f>IFERROR(__xludf.DUMMYFUNCTION("""COMPUTED_VALUE"""),"")</f>
        <v/>
      </c>
      <c r="AG265" s="27"/>
      <c r="AH265" s="27"/>
      <c r="AI265" s="27"/>
    </row>
    <row r="266" hidden="1" outlineLevel="4">
      <c r="A266" s="27" t="s">
        <v>76</v>
      </c>
      <c r="B266" s="30" t="s">
        <v>870</v>
      </c>
      <c r="C266" s="27" t="s">
        <v>871</v>
      </c>
      <c r="D266" s="27" t="s">
        <v>835</v>
      </c>
      <c r="E266" s="27"/>
      <c r="F266" s="27"/>
      <c r="G266" s="27"/>
      <c r="H266" s="27"/>
      <c r="I266" s="27"/>
      <c r="J266" s="27"/>
      <c r="K266" s="27"/>
      <c r="L266" s="27"/>
      <c r="M266" s="27"/>
      <c r="O266" s="27"/>
      <c r="P266" s="27"/>
      <c r="W266" s="13" t="s">
        <v>872</v>
      </c>
      <c r="Y266" s="13" t="s">
        <v>872</v>
      </c>
      <c r="AA266" s="13" t="b">
        <v>0</v>
      </c>
      <c r="AB266" s="13" t="b">
        <v>0</v>
      </c>
      <c r="AC266" s="13" t="b">
        <v>0</v>
      </c>
      <c r="AE266" s="27"/>
      <c r="AF266" s="27" t="str">
        <f>IFERROR(__xludf.DUMMYFUNCTION("""COMPUTED_VALUE"""),"")</f>
        <v/>
      </c>
      <c r="AG266" s="27"/>
      <c r="AH266" s="27"/>
      <c r="AI266" s="27"/>
    </row>
    <row r="267" hidden="1" outlineLevel="3">
      <c r="A267" s="27" t="s">
        <v>283</v>
      </c>
      <c r="B267" s="30"/>
      <c r="C267" s="27"/>
      <c r="D267" s="27"/>
      <c r="E267" s="27"/>
      <c r="F267" s="27"/>
      <c r="G267" s="27"/>
      <c r="H267" s="27"/>
      <c r="I267" s="27"/>
      <c r="J267" s="39"/>
      <c r="K267" s="27"/>
      <c r="L267" s="27"/>
      <c r="M267" s="27"/>
      <c r="N267" s="13"/>
      <c r="O267" s="27"/>
      <c r="P267" s="27"/>
      <c r="Q267" s="13"/>
      <c r="R267" s="13"/>
      <c r="S267" s="13"/>
      <c r="T267" s="13"/>
      <c r="U267" s="13"/>
      <c r="V267" s="13"/>
      <c r="W267" s="13"/>
      <c r="X267" s="13"/>
      <c r="Y267" s="13" t="s">
        <v>45</v>
      </c>
      <c r="Z267" s="13"/>
      <c r="AA267" s="13" t="b">
        <v>0</v>
      </c>
      <c r="AB267" s="13" t="b">
        <v>0</v>
      </c>
      <c r="AC267" s="13" t="b">
        <v>0</v>
      </c>
      <c r="AD267" s="13"/>
      <c r="AE267" s="27"/>
      <c r="AF267" s="27" t="str">
        <f>IFERROR(__xludf.DUMMYFUNCTION("""COMPUTED_VALUE"""),"")</f>
        <v/>
      </c>
      <c r="AG267" s="27"/>
      <c r="AH267" s="27"/>
      <c r="AI267" s="27"/>
    </row>
    <row r="268" hidden="1" outlineLevel="2">
      <c r="A268" s="27" t="s">
        <v>283</v>
      </c>
      <c r="B268" s="30"/>
      <c r="C268" s="27"/>
      <c r="D268" s="27"/>
      <c r="E268" s="27"/>
      <c r="F268" s="27"/>
      <c r="G268" s="27"/>
      <c r="H268" s="27"/>
      <c r="I268" s="27"/>
      <c r="J268" s="27"/>
      <c r="K268" s="27"/>
      <c r="L268" s="27"/>
      <c r="M268" s="27"/>
      <c r="N268" s="13"/>
      <c r="O268" s="27"/>
      <c r="P268" s="27"/>
      <c r="Q268" s="13"/>
      <c r="R268" s="13"/>
      <c r="S268" s="13"/>
      <c r="T268" s="13"/>
      <c r="U268" s="13"/>
      <c r="V268" s="13"/>
      <c r="W268" s="13"/>
      <c r="X268" s="13"/>
      <c r="Y268" s="13" t="s">
        <v>45</v>
      </c>
      <c r="Z268" s="13"/>
      <c r="AA268" s="13" t="b">
        <v>0</v>
      </c>
      <c r="AB268" s="13" t="b">
        <v>0</v>
      </c>
      <c r="AC268" s="13" t="b">
        <v>0</v>
      </c>
      <c r="AD268" s="13"/>
      <c r="AE268" s="27"/>
      <c r="AF268" s="27" t="str">
        <f>IFERROR(__xludf.DUMMYFUNCTION("""COMPUTED_VALUE"""),"")</f>
        <v/>
      </c>
      <c r="AG268" s="27"/>
      <c r="AH268" s="27"/>
      <c r="AI268" s="27"/>
    </row>
    <row r="269" hidden="1" outlineLevel="1">
      <c r="A269" s="27" t="s">
        <v>283</v>
      </c>
      <c r="B269" s="30"/>
      <c r="C269" s="27"/>
      <c r="D269" s="27"/>
      <c r="E269" s="27"/>
      <c r="F269" s="27"/>
      <c r="G269" s="27"/>
      <c r="H269" s="27"/>
      <c r="I269" s="27"/>
      <c r="J269" s="27"/>
      <c r="K269" s="27"/>
      <c r="L269" s="27"/>
      <c r="M269" s="27"/>
      <c r="N269" s="13"/>
      <c r="O269" s="27"/>
      <c r="P269" s="27"/>
      <c r="Q269" s="13"/>
      <c r="R269" s="13"/>
      <c r="S269" s="13"/>
      <c r="T269" s="13"/>
      <c r="U269" s="13"/>
      <c r="V269" s="13"/>
      <c r="W269" s="13"/>
      <c r="X269" s="13"/>
      <c r="Y269" s="13" t="s">
        <v>45</v>
      </c>
      <c r="Z269" s="13"/>
      <c r="AA269" s="13" t="b">
        <v>0</v>
      </c>
      <c r="AB269" s="13" t="b">
        <v>0</v>
      </c>
      <c r="AC269" s="13" t="b">
        <v>0</v>
      </c>
      <c r="AD269" s="13"/>
      <c r="AE269" s="27"/>
      <c r="AF269" s="27" t="str">
        <f>IFERROR(__xludf.DUMMYFUNCTION("""COMPUTED_VALUE"""),"")</f>
        <v/>
      </c>
      <c r="AG269" s="27"/>
      <c r="AH269" s="27"/>
      <c r="AI269" s="27"/>
    </row>
    <row r="270" hidden="1" outlineLevel="1">
      <c r="A270" s="27"/>
      <c r="B270" s="30"/>
      <c r="C270" s="27"/>
      <c r="D270" s="27"/>
      <c r="E270" s="27"/>
      <c r="F270" s="27"/>
      <c r="G270" s="27"/>
      <c r="H270" s="27"/>
      <c r="I270" s="27"/>
      <c r="J270" s="27"/>
      <c r="K270" s="27"/>
      <c r="L270" s="27"/>
      <c r="M270" s="27"/>
      <c r="O270" s="27"/>
      <c r="P270" s="27"/>
      <c r="Y270" s="13" t="s">
        <v>45</v>
      </c>
      <c r="AA270" s="13" t="b">
        <v>0</v>
      </c>
      <c r="AB270" s="13" t="b">
        <v>0</v>
      </c>
      <c r="AC270" s="13" t="b">
        <v>0</v>
      </c>
      <c r="AE270" s="27"/>
      <c r="AF270" s="27" t="str">
        <f>IFERROR(__xludf.DUMMYFUNCTION("""COMPUTED_VALUE"""),"")</f>
        <v/>
      </c>
      <c r="AG270" s="27"/>
      <c r="AH270" s="27"/>
      <c r="AI270" s="27"/>
    </row>
    <row r="271" hidden="1" outlineLevel="1">
      <c r="A271" s="27"/>
      <c r="B271" s="30"/>
      <c r="C271" s="27"/>
      <c r="D271" s="27"/>
      <c r="E271" s="27"/>
      <c r="F271" s="27"/>
      <c r="G271" s="27"/>
      <c r="H271" s="27"/>
      <c r="I271" s="27"/>
      <c r="J271" s="27"/>
      <c r="K271" s="27"/>
      <c r="L271" s="27"/>
      <c r="M271" s="27"/>
      <c r="O271" s="27"/>
      <c r="P271" s="27"/>
      <c r="Y271" s="13" t="s">
        <v>45</v>
      </c>
      <c r="AA271" s="13" t="b">
        <v>0</v>
      </c>
      <c r="AB271" s="13" t="b">
        <v>0</v>
      </c>
      <c r="AC271" s="13" t="b">
        <v>0</v>
      </c>
      <c r="AE271" s="27"/>
      <c r="AF271" s="27" t="str">
        <f>IFERROR(__xludf.DUMMYFUNCTION("""COMPUTED_VALUE"""),"")</f>
        <v/>
      </c>
      <c r="AG271" s="27"/>
      <c r="AH271" s="27"/>
      <c r="AI271" s="27"/>
    </row>
    <row r="272" hidden="1" outlineLevel="1" collapsed="1">
      <c r="A272" s="27" t="s">
        <v>113</v>
      </c>
      <c r="B272" s="30" t="s">
        <v>873</v>
      </c>
      <c r="C272" s="27"/>
      <c r="D272" s="27" t="s">
        <v>874</v>
      </c>
      <c r="E272" s="27" t="s">
        <v>116</v>
      </c>
      <c r="F272" s="27"/>
      <c r="G272" s="27"/>
      <c r="H272" s="27"/>
      <c r="I272" s="27"/>
      <c r="J272" s="27"/>
      <c r="K272" s="27"/>
      <c r="L272" s="27"/>
      <c r="M272" s="27"/>
      <c r="N272" s="13"/>
      <c r="O272" s="27"/>
      <c r="P272" s="27"/>
      <c r="Q272" s="13"/>
      <c r="R272" s="13"/>
      <c r="S272" s="13"/>
      <c r="T272" s="13"/>
      <c r="U272" s="13"/>
      <c r="V272" s="13"/>
      <c r="W272" s="13"/>
      <c r="X272" s="13"/>
      <c r="Y272" s="13" t="s">
        <v>45</v>
      </c>
      <c r="Z272" s="13"/>
      <c r="AA272" s="13" t="b">
        <v>0</v>
      </c>
      <c r="AB272" s="13" t="b">
        <v>0</v>
      </c>
      <c r="AC272" s="13" t="b">
        <v>0</v>
      </c>
      <c r="AD272" s="13"/>
      <c r="AE272" s="27"/>
      <c r="AF272" s="27" t="str">
        <f>IFERROR(__xludf.DUMMYFUNCTION("""COMPUTED_VALUE"""),"")</f>
        <v/>
      </c>
      <c r="AG272" s="27"/>
      <c r="AH272" s="27"/>
      <c r="AI272" s="27"/>
    </row>
    <row r="273" hidden="1" outlineLevel="2">
      <c r="A273" s="27" t="s">
        <v>78</v>
      </c>
      <c r="B273" s="30" t="s">
        <v>875</v>
      </c>
      <c r="C273" s="27" t="s">
        <v>876</v>
      </c>
      <c r="D273" s="27" t="s">
        <v>275</v>
      </c>
      <c r="E273" s="27"/>
      <c r="F273" s="27"/>
      <c r="G273" s="27"/>
      <c r="H273" s="27"/>
      <c r="I273" s="27"/>
      <c r="J273" s="27"/>
      <c r="K273" s="27" t="s">
        <v>877</v>
      </c>
      <c r="L273" s="27"/>
      <c r="M273" s="27"/>
      <c r="O273" s="27"/>
      <c r="P273" s="27"/>
      <c r="V273" s="13" t="s">
        <v>878</v>
      </c>
      <c r="W273" s="13" t="s">
        <v>879</v>
      </c>
      <c r="Y273" s="13" t="s">
        <v>879</v>
      </c>
      <c r="AA273" s="13" t="b">
        <v>0</v>
      </c>
      <c r="AB273" s="13" t="b">
        <v>0</v>
      </c>
      <c r="AC273" s="13" t="b">
        <v>0</v>
      </c>
      <c r="AE273" s="27"/>
      <c r="AF273" s="27" t="str">
        <f>IFERROR(__xludf.DUMMYFUNCTION("""COMPUTED_VALUE"""),"ex:,new")</f>
        <v>ex:,new</v>
      </c>
      <c r="AG273" s="27"/>
      <c r="AH273" s="27"/>
      <c r="AI273" s="27"/>
    </row>
    <row r="274" hidden="1" outlineLevel="2">
      <c r="A274" s="27" t="s">
        <v>770</v>
      </c>
      <c r="B274" s="30" t="s">
        <v>880</v>
      </c>
      <c r="C274" s="27" t="s">
        <v>881</v>
      </c>
      <c r="D274" s="27"/>
      <c r="E274" s="27"/>
      <c r="F274" s="27" t="s">
        <v>882</v>
      </c>
      <c r="G274" s="27" t="s">
        <v>883</v>
      </c>
      <c r="H274" s="27" t="s">
        <v>884</v>
      </c>
      <c r="I274" s="27"/>
      <c r="J274" s="27"/>
      <c r="K274" s="27" t="s">
        <v>885</v>
      </c>
      <c r="L274" s="27"/>
      <c r="M274" s="27"/>
      <c r="O274" s="27"/>
      <c r="P274" s="27" t="s">
        <v>886</v>
      </c>
      <c r="V274" s="13" t="s">
        <v>887</v>
      </c>
      <c r="W274" s="13" t="s">
        <v>888</v>
      </c>
      <c r="Y274" s="13" t="s">
        <v>888</v>
      </c>
      <c r="Z274" s="13" t="s">
        <v>889</v>
      </c>
      <c r="AA274" s="13" t="b">
        <v>0</v>
      </c>
      <c r="AB274" s="13" t="b">
        <v>0</v>
      </c>
      <c r="AC274" s="13" t="b">
        <v>0</v>
      </c>
      <c r="AE274" s="27"/>
      <c r="AF274" s="27" t="str">
        <f>IFERROR(__xludf.DUMMYFUNCTION("""COMPUTED_VALUE"""),"ex:,thousands-sep,bearing")</f>
        <v>ex:,thousands-sep,bearing</v>
      </c>
      <c r="AG274" s="27"/>
      <c r="AH274" s="27"/>
      <c r="AI274" s="27"/>
    </row>
    <row r="275" hidden="1" outlineLevel="2">
      <c r="A275" s="27" t="s">
        <v>770</v>
      </c>
      <c r="B275" s="30" t="s">
        <v>890</v>
      </c>
      <c r="C275" s="27" t="s">
        <v>891</v>
      </c>
      <c r="D275" s="27"/>
      <c r="E275" s="27"/>
      <c r="F275" s="27"/>
      <c r="G275" s="27"/>
      <c r="H275" s="27" t="s">
        <v>892</v>
      </c>
      <c r="I275" s="27"/>
      <c r="J275" s="27"/>
      <c r="K275" s="27" t="s">
        <v>893</v>
      </c>
      <c r="L275" s="27"/>
      <c r="M275" s="27"/>
      <c r="O275" s="27"/>
      <c r="P275" s="27"/>
      <c r="W275" s="13" t="s">
        <v>894</v>
      </c>
      <c r="Y275" s="13" t="s">
        <v>894</v>
      </c>
      <c r="Z275" s="13" t="s">
        <v>895</v>
      </c>
      <c r="AA275" s="13" t="b">
        <v>0</v>
      </c>
      <c r="AB275" s="13" t="b">
        <v>0</v>
      </c>
      <c r="AC275" s="13" t="b">
        <v>0</v>
      </c>
      <c r="AE275" s="27"/>
      <c r="AF275" s="27" t="str">
        <f>IFERROR(__xludf.DUMMYFUNCTION("""COMPUTED_VALUE"""),"ex:,thousands-sep,bearing")</f>
        <v>ex:,thousands-sep,bearing</v>
      </c>
      <c r="AG275" s="27"/>
      <c r="AH275" s="27"/>
      <c r="AI275" s="27"/>
    </row>
    <row r="276" hidden="1" outlineLevel="2">
      <c r="A276" s="27" t="s">
        <v>150</v>
      </c>
      <c r="B276" s="30" t="s">
        <v>896</v>
      </c>
      <c r="C276" s="27" t="s">
        <v>897</v>
      </c>
      <c r="D276" s="27"/>
      <c r="E276" s="27"/>
      <c r="F276" s="27"/>
      <c r="G276" s="27" t="s">
        <v>107</v>
      </c>
      <c r="H276" s="27" t="s">
        <v>898</v>
      </c>
      <c r="I276" s="27"/>
      <c r="J276" s="27"/>
      <c r="K276" s="27" t="s">
        <v>899</v>
      </c>
      <c r="L276" s="27"/>
      <c r="M276" s="27"/>
      <c r="O276" s="27"/>
      <c r="P276" s="27"/>
      <c r="V276" s="13" t="s">
        <v>900</v>
      </c>
      <c r="W276" s="13" t="s">
        <v>901</v>
      </c>
      <c r="Y276" s="13" t="s">
        <v>901</v>
      </c>
      <c r="Z276" s="13" t="s">
        <v>902</v>
      </c>
      <c r="AA276" s="13" t="b">
        <v>0</v>
      </c>
      <c r="AB276" s="13" t="b">
        <v>0</v>
      </c>
      <c r="AC276" s="13" t="b">
        <v>0</v>
      </c>
      <c r="AE276" s="27"/>
      <c r="AF276" s="27" t="str">
        <f>IFERROR(__xludf.DUMMYFUNCTION("""COMPUTED_VALUE"""),"ex:,thousands-sep,counter")</f>
        <v>ex:,thousands-sep,counter</v>
      </c>
      <c r="AG276" s="27"/>
      <c r="AH276" s="27"/>
      <c r="AI276" s="27"/>
    </row>
    <row r="277" hidden="1" outlineLevel="2">
      <c r="A277" s="27" t="s">
        <v>150</v>
      </c>
      <c r="B277" s="30" t="s">
        <v>903</v>
      </c>
      <c r="C277" s="27" t="s">
        <v>904</v>
      </c>
      <c r="D277" s="27"/>
      <c r="E277" s="27"/>
      <c r="F277" s="27"/>
      <c r="G277" s="27" t="s">
        <v>107</v>
      </c>
      <c r="H277" s="27" t="s">
        <v>905</v>
      </c>
      <c r="I277" s="27"/>
      <c r="J277" s="27"/>
      <c r="K277" s="27" t="s">
        <v>906</v>
      </c>
      <c r="L277" s="27"/>
      <c r="M277" s="27"/>
      <c r="O277" s="27"/>
      <c r="P277" s="27"/>
      <c r="V277" s="13" t="s">
        <v>907</v>
      </c>
      <c r="W277" s="13" t="s">
        <v>908</v>
      </c>
      <c r="Y277" s="13" t="s">
        <v>908</v>
      </c>
      <c r="Z277" s="13" t="s">
        <v>909</v>
      </c>
      <c r="AA277" s="13" t="b">
        <v>0</v>
      </c>
      <c r="AB277" s="13" t="b">
        <v>0</v>
      </c>
      <c r="AC277" s="13" t="b">
        <v>0</v>
      </c>
      <c r="AE277" s="27"/>
      <c r="AF277" s="27" t="str">
        <f>IFERROR(__xludf.DUMMYFUNCTION("""COMPUTED_VALUE"""),"ex:,thousands-sep,counter")</f>
        <v>ex:,thousands-sep,counter</v>
      </c>
      <c r="AG277" s="27"/>
      <c r="AH277" s="27"/>
      <c r="AI277" s="27"/>
    </row>
    <row r="278" hidden="1" outlineLevel="1">
      <c r="A278" s="27" t="s">
        <v>283</v>
      </c>
      <c r="B278" s="30"/>
      <c r="C278" s="27"/>
      <c r="D278" s="27"/>
      <c r="E278" s="27"/>
      <c r="F278" s="27"/>
      <c r="G278" s="27"/>
      <c r="H278" s="27"/>
      <c r="I278" s="27"/>
      <c r="J278" s="27"/>
      <c r="K278" s="27"/>
      <c r="L278" s="27"/>
      <c r="M278" s="27"/>
      <c r="N278" s="13"/>
      <c r="O278" s="27"/>
      <c r="P278" s="27"/>
      <c r="Q278" s="13"/>
      <c r="R278" s="13"/>
      <c r="S278" s="13"/>
      <c r="T278" s="13"/>
      <c r="U278" s="13"/>
      <c r="V278" s="13"/>
      <c r="W278" s="13"/>
      <c r="X278" s="13"/>
      <c r="Y278" s="13" t="s">
        <v>45</v>
      </c>
      <c r="Z278" s="13"/>
      <c r="AA278" s="13" t="b">
        <v>0</v>
      </c>
      <c r="AB278" s="13" t="b">
        <v>0</v>
      </c>
      <c r="AC278" s="13" t="b">
        <v>0</v>
      </c>
      <c r="AD278" s="13"/>
      <c r="AE278" s="27"/>
      <c r="AF278" s="27" t="str">
        <f>IFERROR(__xludf.DUMMYFUNCTION("""COMPUTED_VALUE"""),"")</f>
        <v/>
      </c>
      <c r="AG278" s="27"/>
      <c r="AH278" s="27"/>
      <c r="AI278" s="27"/>
    </row>
    <row r="279" hidden="1" outlineLevel="1">
      <c r="A279" s="27"/>
      <c r="B279" s="30"/>
      <c r="C279" s="27"/>
      <c r="D279" s="27"/>
      <c r="E279" s="27"/>
      <c r="F279" s="27"/>
      <c r="G279" s="27"/>
      <c r="H279" s="27"/>
      <c r="I279" s="27"/>
      <c r="J279" s="27"/>
      <c r="K279" s="27"/>
      <c r="L279" s="27"/>
      <c r="M279" s="27"/>
      <c r="O279" s="27"/>
      <c r="P279" s="27"/>
      <c r="Y279" s="13" t="s">
        <v>45</v>
      </c>
      <c r="AA279" s="13" t="b">
        <v>0</v>
      </c>
      <c r="AB279" s="13" t="b">
        <v>0</v>
      </c>
      <c r="AC279" s="13" t="b">
        <v>0</v>
      </c>
      <c r="AE279" s="27"/>
      <c r="AF279" s="27" t="str">
        <f>IFERROR(__xludf.DUMMYFUNCTION("""COMPUTED_VALUE"""),"")</f>
        <v/>
      </c>
      <c r="AG279" s="27"/>
      <c r="AH279" s="27"/>
      <c r="AI279" s="27"/>
    </row>
    <row r="280" hidden="1" outlineLevel="1">
      <c r="A280" s="27"/>
      <c r="B280" s="30"/>
      <c r="C280" s="27"/>
      <c r="D280" s="27"/>
      <c r="E280" s="27"/>
      <c r="F280" s="27"/>
      <c r="G280" s="27"/>
      <c r="H280" s="27"/>
      <c r="I280" s="27"/>
      <c r="J280" s="27"/>
      <c r="K280" s="27"/>
      <c r="L280" s="27"/>
      <c r="M280" s="27"/>
      <c r="O280" s="27"/>
      <c r="P280" s="27"/>
      <c r="Y280" s="13" t="s">
        <v>45</v>
      </c>
      <c r="AA280" s="13" t="b">
        <v>0</v>
      </c>
      <c r="AB280" s="13" t="b">
        <v>0</v>
      </c>
      <c r="AC280" s="13" t="b">
        <v>0</v>
      </c>
      <c r="AE280" s="27"/>
      <c r="AF280" s="27" t="str">
        <f>IFERROR(__xludf.DUMMYFUNCTION("""COMPUTED_VALUE"""),"")</f>
        <v/>
      </c>
      <c r="AG280" s="27"/>
      <c r="AH280" s="27"/>
      <c r="AI280" s="27"/>
    </row>
    <row r="281" hidden="1" outlineLevel="1" collapsed="1">
      <c r="A281" s="27" t="s">
        <v>113</v>
      </c>
      <c r="B281" s="30" t="s">
        <v>910</v>
      </c>
      <c r="C281" s="27"/>
      <c r="D281" s="27" t="s">
        <v>911</v>
      </c>
      <c r="E281" s="27"/>
      <c r="F281" s="27"/>
      <c r="G281" s="27" t="s">
        <v>107</v>
      </c>
      <c r="H281" s="27"/>
      <c r="I281" s="27"/>
      <c r="J281" s="27"/>
      <c r="K281" s="27"/>
      <c r="L281" s="27"/>
      <c r="M281" s="27"/>
      <c r="N281" s="13"/>
      <c r="O281" s="27"/>
      <c r="P281" s="27"/>
      <c r="Q281" s="13"/>
      <c r="R281" s="13"/>
      <c r="S281" s="13"/>
      <c r="T281" s="13"/>
      <c r="U281" s="13"/>
      <c r="V281" s="13"/>
      <c r="W281" s="13"/>
      <c r="X281" s="13"/>
      <c r="Y281" s="13" t="s">
        <v>45</v>
      </c>
      <c r="Z281" s="13"/>
      <c r="AA281" s="13" t="b">
        <v>0</v>
      </c>
      <c r="AB281" s="13" t="b">
        <v>0</v>
      </c>
      <c r="AC281" s="13" t="b">
        <v>0</v>
      </c>
      <c r="AD281" s="13"/>
      <c r="AE281" s="27"/>
      <c r="AF281" s="27" t="str">
        <f>IFERROR(__xludf.DUMMYFUNCTION("""COMPUTED_VALUE"""),"")</f>
        <v/>
      </c>
      <c r="AG281" s="27"/>
      <c r="AH281" s="27"/>
      <c r="AI281" s="27"/>
    </row>
    <row r="282" hidden="1" outlineLevel="2">
      <c r="A282" s="27" t="s">
        <v>912</v>
      </c>
      <c r="B282" s="30" t="s">
        <v>913</v>
      </c>
      <c r="C282" s="27" t="s">
        <v>914</v>
      </c>
      <c r="D282" s="27"/>
      <c r="E282" s="27"/>
      <c r="F282" s="27"/>
      <c r="G282" s="27" t="s">
        <v>107</v>
      </c>
      <c r="H282" s="27"/>
      <c r="I282" s="27"/>
      <c r="J282" s="27"/>
      <c r="K282" s="27"/>
      <c r="L282" s="27"/>
      <c r="M282" s="27"/>
      <c r="O282" s="27"/>
      <c r="P282" s="27"/>
      <c r="W282" s="13" t="s">
        <v>915</v>
      </c>
      <c r="Y282" s="13" t="s">
        <v>915</v>
      </c>
      <c r="AA282" s="13" t="b">
        <v>0</v>
      </c>
      <c r="AB282" s="13" t="b">
        <v>0</v>
      </c>
      <c r="AC282" s="13" t="b">
        <v>0</v>
      </c>
      <c r="AE282" s="27"/>
      <c r="AF282" s="27" t="str">
        <f>IFERROR(__xludf.DUMMYFUNCTION("""COMPUTED_VALUE"""),"quick,likert,map,minimal,search,columns-pack,columns,columns-n,no-buttons,image-map,label,list-nolabel,list")</f>
        <v>quick,likert,map,minimal,search,columns-pack,columns,columns-n,no-buttons,image-map,label,list-nolabel,list</v>
      </c>
      <c r="AG282" s="27"/>
      <c r="AH282" s="27"/>
      <c r="AI282" s="27"/>
    </row>
    <row r="283" hidden="1" outlineLevel="2">
      <c r="A283" s="27" t="s">
        <v>916</v>
      </c>
      <c r="B283" s="30" t="s">
        <v>917</v>
      </c>
      <c r="C283" s="27" t="s">
        <v>918</v>
      </c>
      <c r="D283" s="27"/>
      <c r="E283" s="27"/>
      <c r="F283" s="27"/>
      <c r="G283" s="27" t="s">
        <v>107</v>
      </c>
      <c r="H283" s="27"/>
      <c r="I283" s="27" t="s">
        <v>919</v>
      </c>
      <c r="J283" s="27"/>
      <c r="K283" s="27"/>
      <c r="L283" s="27"/>
      <c r="M283" s="27"/>
      <c r="O283" s="27"/>
      <c r="P283" s="27"/>
      <c r="W283" s="13" t="s">
        <v>920</v>
      </c>
      <c r="Y283" s="13" t="s">
        <v>920</v>
      </c>
      <c r="AA283" s="13" t="b">
        <v>0</v>
      </c>
      <c r="AB283" s="13" t="b">
        <v>0</v>
      </c>
      <c r="AC283" s="13" t="b">
        <v>0</v>
      </c>
      <c r="AE283" s="27"/>
      <c r="AF283" s="27" t="str">
        <f>IFERROR(__xludf.DUMMYFUNCTION("""COMPUTED_VALUE"""),"quick,likert,map,minimal,search,columns-pack,columns,columns-n,no-buttons,image-map,label,list-nolabel,list")</f>
        <v>quick,likert,map,minimal,search,columns-pack,columns,columns-n,no-buttons,image-map,label,list-nolabel,list</v>
      </c>
      <c r="AG283" s="27"/>
      <c r="AH283" s="27"/>
      <c r="AI283" s="27"/>
    </row>
    <row r="284" hidden="1" outlineLevel="2">
      <c r="A284" s="27" t="s">
        <v>921</v>
      </c>
      <c r="B284" s="30" t="s">
        <v>922</v>
      </c>
      <c r="C284" s="27" t="s">
        <v>923</v>
      </c>
      <c r="D284" s="27"/>
      <c r="E284" s="27"/>
      <c r="F284" s="27"/>
      <c r="G284" s="27" t="s">
        <v>107</v>
      </c>
      <c r="H284" s="27"/>
      <c r="I284" s="27" t="s">
        <v>924</v>
      </c>
      <c r="J284" s="27"/>
      <c r="K284" s="27"/>
      <c r="L284" s="27"/>
      <c r="M284" s="27"/>
      <c r="O284" s="27"/>
      <c r="P284" s="27"/>
      <c r="W284" s="13" t="s">
        <v>925</v>
      </c>
      <c r="Y284" s="13" t="s">
        <v>925</v>
      </c>
      <c r="AA284" s="13" t="b">
        <v>0</v>
      </c>
      <c r="AB284" s="13" t="b">
        <v>0</v>
      </c>
      <c r="AC284" s="13" t="b">
        <v>0</v>
      </c>
      <c r="AE284" s="27"/>
      <c r="AF284" s="27" t="str">
        <f>IFERROR(__xludf.DUMMYFUNCTION("""COMPUTED_VALUE"""),"quick,likert,map,minimal,search,columns-pack,columns,columns-n,no-buttons,image-map,label,list-nolabel,list")</f>
        <v>quick,likert,map,minimal,search,columns-pack,columns,columns-n,no-buttons,image-map,label,list-nolabel,list</v>
      </c>
      <c r="AG284" s="27"/>
      <c r="AH284" s="27"/>
      <c r="AI284" s="27"/>
    </row>
    <row r="285" hidden="1" outlineLevel="2">
      <c r="A285" s="27" t="s">
        <v>150</v>
      </c>
      <c r="B285" s="30" t="s">
        <v>926</v>
      </c>
      <c r="C285" s="27" t="s">
        <v>927</v>
      </c>
      <c r="D285" s="27"/>
      <c r="E285" s="27"/>
      <c r="F285" s="27"/>
      <c r="G285" s="27" t="s">
        <v>107</v>
      </c>
      <c r="H285" s="27"/>
      <c r="I285" s="27"/>
      <c r="J285" s="27"/>
      <c r="K285" s="27"/>
      <c r="L285" s="27"/>
      <c r="M285" s="27"/>
      <c r="O285" s="27"/>
      <c r="P285" s="27"/>
      <c r="W285" s="13" t="s">
        <v>928</v>
      </c>
      <c r="Y285" s="13" t="s">
        <v>928</v>
      </c>
      <c r="AA285" s="13" t="b">
        <v>0</v>
      </c>
      <c r="AB285" s="13" t="b">
        <v>0</v>
      </c>
      <c r="AC285" s="13" t="b">
        <v>0</v>
      </c>
      <c r="AE285" s="27"/>
      <c r="AF285" s="27" t="str">
        <f>IFERROR(__xludf.DUMMYFUNCTION("""COMPUTED_VALUE"""),"ex:,thousands-sep,counter")</f>
        <v>ex:,thousands-sep,counter</v>
      </c>
      <c r="AG285" s="27"/>
      <c r="AH285" s="27"/>
      <c r="AI285" s="27"/>
    </row>
    <row r="286" hidden="1" outlineLevel="2">
      <c r="A286" s="27" t="s">
        <v>770</v>
      </c>
      <c r="B286" s="30" t="s">
        <v>929</v>
      </c>
      <c r="C286" s="27" t="s">
        <v>930</v>
      </c>
      <c r="D286" s="27" t="s">
        <v>931</v>
      </c>
      <c r="E286" s="27"/>
      <c r="F286" s="27"/>
      <c r="G286" s="27" t="s">
        <v>107</v>
      </c>
      <c r="H286" s="27"/>
      <c r="I286" s="27"/>
      <c r="J286" s="27"/>
      <c r="K286" s="27"/>
      <c r="L286" s="27"/>
      <c r="M286" s="27"/>
      <c r="O286" s="27"/>
      <c r="P286" s="27"/>
      <c r="W286" s="13" t="s">
        <v>932</v>
      </c>
      <c r="Y286" s="13" t="s">
        <v>932</v>
      </c>
      <c r="AA286" s="13" t="b">
        <v>0</v>
      </c>
      <c r="AB286" s="13" t="b">
        <v>0</v>
      </c>
      <c r="AC286" s="13" t="b">
        <v>0</v>
      </c>
      <c r="AE286" s="27"/>
      <c r="AF286" s="27" t="str">
        <f>IFERROR(__xludf.DUMMYFUNCTION("""COMPUTED_VALUE"""),"ex:,thousands-sep,bearing")</f>
        <v>ex:,thousands-sep,bearing</v>
      </c>
      <c r="AG286" s="27"/>
      <c r="AH286" s="27"/>
      <c r="AI286" s="27"/>
    </row>
    <row r="287" hidden="1" outlineLevel="1">
      <c r="A287" s="27" t="s">
        <v>283</v>
      </c>
      <c r="B287" s="30"/>
      <c r="C287" s="27"/>
      <c r="D287" s="27"/>
      <c r="E287" s="27"/>
      <c r="F287" s="27"/>
      <c r="G287" s="27"/>
      <c r="H287" s="27"/>
      <c r="I287" s="27"/>
      <c r="J287" s="27"/>
      <c r="K287" s="27"/>
      <c r="L287" s="27"/>
      <c r="M287" s="27"/>
      <c r="N287" s="13"/>
      <c r="O287" s="27"/>
      <c r="P287" s="27"/>
      <c r="Q287" s="13"/>
      <c r="R287" s="13"/>
      <c r="S287" s="13"/>
      <c r="T287" s="13"/>
      <c r="U287" s="13"/>
      <c r="V287" s="13"/>
      <c r="W287" s="13"/>
      <c r="X287" s="13"/>
      <c r="Y287" s="13" t="s">
        <v>45</v>
      </c>
      <c r="Z287" s="13"/>
      <c r="AA287" s="13" t="b">
        <v>0</v>
      </c>
      <c r="AB287" s="13" t="b">
        <v>0</v>
      </c>
      <c r="AC287" s="13" t="b">
        <v>0</v>
      </c>
      <c r="AD287" s="13"/>
      <c r="AE287" s="27"/>
      <c r="AF287" s="27" t="str">
        <f>IFERROR(__xludf.DUMMYFUNCTION("""COMPUTED_VALUE"""),"")</f>
        <v/>
      </c>
      <c r="AG287" s="27"/>
      <c r="AH287" s="27"/>
      <c r="AI287" s="27"/>
    </row>
    <row r="288" hidden="1" outlineLevel="1">
      <c r="A288" s="27"/>
      <c r="B288" s="30"/>
      <c r="C288" s="27"/>
      <c r="D288" s="27"/>
      <c r="E288" s="27"/>
      <c r="F288" s="27"/>
      <c r="G288" s="27"/>
      <c r="H288" s="27"/>
      <c r="I288" s="27"/>
      <c r="J288" s="27"/>
      <c r="K288" s="27"/>
      <c r="L288" s="27"/>
      <c r="M288" s="27"/>
      <c r="O288" s="27"/>
      <c r="P288" s="27"/>
      <c r="Y288" s="13" t="s">
        <v>45</v>
      </c>
      <c r="AA288" s="13" t="b">
        <v>0</v>
      </c>
      <c r="AB288" s="13" t="b">
        <v>0</v>
      </c>
      <c r="AC288" s="13" t="b">
        <v>0</v>
      </c>
      <c r="AE288" s="27"/>
      <c r="AF288" s="27" t="str">
        <f>IFERROR(__xludf.DUMMYFUNCTION("""COMPUTED_VALUE"""),"")</f>
        <v/>
      </c>
      <c r="AG288" s="27"/>
      <c r="AH288" s="27"/>
      <c r="AI288" s="27"/>
    </row>
    <row r="289" hidden="1" outlineLevel="1">
      <c r="A289" s="27"/>
      <c r="B289" s="30"/>
      <c r="C289" s="27"/>
      <c r="D289" s="27"/>
      <c r="E289" s="27"/>
      <c r="F289" s="27"/>
      <c r="G289" s="27"/>
      <c r="H289" s="27"/>
      <c r="I289" s="27"/>
      <c r="J289" s="27"/>
      <c r="K289" s="27"/>
      <c r="L289" s="27"/>
      <c r="M289" s="27"/>
      <c r="O289" s="27"/>
      <c r="P289" s="27"/>
      <c r="Y289" s="13" t="s">
        <v>45</v>
      </c>
      <c r="AA289" s="13" t="b">
        <v>0</v>
      </c>
      <c r="AB289" s="13" t="b">
        <v>0</v>
      </c>
      <c r="AC289" s="13" t="b">
        <v>0</v>
      </c>
      <c r="AE289" s="27"/>
      <c r="AF289" s="27" t="str">
        <f>IFERROR(__xludf.DUMMYFUNCTION("""COMPUTED_VALUE"""),"")</f>
        <v/>
      </c>
      <c r="AG289" s="27"/>
      <c r="AH289" s="27"/>
      <c r="AI289" s="27"/>
    </row>
    <row r="290" hidden="1" outlineLevel="1">
      <c r="A290" s="27"/>
      <c r="B290" s="30"/>
      <c r="C290" s="27"/>
      <c r="D290" s="27"/>
      <c r="E290" s="27"/>
      <c r="F290" s="27"/>
      <c r="G290" s="27"/>
      <c r="H290" s="27"/>
      <c r="I290" s="27"/>
      <c r="J290" s="27"/>
      <c r="K290" s="27"/>
      <c r="L290" s="27"/>
      <c r="M290" s="27"/>
      <c r="O290" s="27"/>
      <c r="P290" s="27"/>
      <c r="Y290" s="13" t="s">
        <v>45</v>
      </c>
      <c r="AA290" s="13" t="b">
        <v>0</v>
      </c>
      <c r="AB290" s="13" t="b">
        <v>0</v>
      </c>
      <c r="AC290" s="13" t="b">
        <v>0</v>
      </c>
      <c r="AE290" s="27"/>
      <c r="AF290" s="27" t="str">
        <f>IFERROR(__xludf.DUMMYFUNCTION("""COMPUTED_VALUE"""),"")</f>
        <v/>
      </c>
      <c r="AG290" s="27"/>
      <c r="AH290" s="27"/>
      <c r="AI290" s="27"/>
    </row>
    <row r="291" hidden="1" outlineLevel="1">
      <c r="A291" s="27"/>
      <c r="B291" s="30"/>
      <c r="C291" s="27"/>
      <c r="D291" s="27"/>
      <c r="E291" s="27"/>
      <c r="F291" s="27"/>
      <c r="G291" s="27"/>
      <c r="H291" s="27"/>
      <c r="I291" s="27"/>
      <c r="J291" s="27"/>
      <c r="K291" s="27"/>
      <c r="L291" s="27"/>
      <c r="M291" s="27"/>
      <c r="O291" s="27"/>
      <c r="P291" s="27"/>
      <c r="Y291" s="13" t="s">
        <v>45</v>
      </c>
      <c r="AA291" s="13" t="b">
        <v>0</v>
      </c>
      <c r="AB291" s="13" t="b">
        <v>0</v>
      </c>
      <c r="AC291" s="13" t="b">
        <v>0</v>
      </c>
      <c r="AE291" s="27"/>
      <c r="AF291" s="27" t="str">
        <f>IFERROR(__xludf.DUMMYFUNCTION("""COMPUTED_VALUE"""),"")</f>
        <v/>
      </c>
      <c r="AG291" s="27"/>
      <c r="AH291" s="27"/>
      <c r="AI291" s="27"/>
    </row>
    <row r="292" hidden="1" outlineLevel="1" collapsed="1">
      <c r="A292" s="27" t="s">
        <v>113</v>
      </c>
      <c r="B292" s="30" t="s">
        <v>933</v>
      </c>
      <c r="C292" s="27"/>
      <c r="D292" s="27" t="s">
        <v>317</v>
      </c>
      <c r="E292" s="27" t="s">
        <v>116</v>
      </c>
      <c r="F292" s="27"/>
      <c r="G292" s="27"/>
      <c r="H292" s="27"/>
      <c r="I292" s="27"/>
      <c r="J292" s="27"/>
      <c r="K292" s="27"/>
      <c r="L292" s="27"/>
      <c r="M292" s="27"/>
      <c r="N292" s="13"/>
      <c r="O292" s="27"/>
      <c r="P292" s="27"/>
      <c r="Q292" s="13"/>
      <c r="R292" s="13"/>
      <c r="S292" s="13"/>
      <c r="T292" s="13"/>
      <c r="U292" s="13"/>
      <c r="V292" s="13"/>
      <c r="W292" s="13"/>
      <c r="X292" s="13"/>
      <c r="Y292" s="13" t="s">
        <v>45</v>
      </c>
      <c r="Z292" s="13"/>
      <c r="AA292" s="13" t="b">
        <v>0</v>
      </c>
      <c r="AB292" s="13" t="b">
        <v>0</v>
      </c>
      <c r="AC292" s="13" t="b">
        <v>0</v>
      </c>
      <c r="AD292" s="13"/>
      <c r="AE292" s="27"/>
      <c r="AF292" s="27" t="str">
        <f>IFERROR(__xludf.DUMMYFUNCTION("""COMPUTED_VALUE"""),"")</f>
        <v/>
      </c>
      <c r="AG292" s="27"/>
      <c r="AH292" s="27"/>
      <c r="AI292" s="27"/>
    </row>
    <row r="293" hidden="1" outlineLevel="2">
      <c r="A293" s="27" t="s">
        <v>934</v>
      </c>
      <c r="B293" s="30" t="s">
        <v>935</v>
      </c>
      <c r="C293" s="27" t="s">
        <v>936</v>
      </c>
      <c r="D293" s="27" t="s">
        <v>937</v>
      </c>
      <c r="E293" s="27"/>
      <c r="F293" s="27"/>
      <c r="G293" s="27" t="s">
        <v>107</v>
      </c>
      <c r="H293" s="27"/>
      <c r="I293" s="27"/>
      <c r="J293" s="27"/>
      <c r="K293" s="27"/>
      <c r="L293" s="27"/>
      <c r="M293" s="27"/>
      <c r="O293" s="27"/>
      <c r="P293" s="27"/>
      <c r="V293" s="13" t="s">
        <v>938</v>
      </c>
      <c r="W293" s="13" t="s">
        <v>939</v>
      </c>
      <c r="Y293" s="13" t="s">
        <v>939</v>
      </c>
      <c r="Z293" s="13" t="s">
        <v>940</v>
      </c>
      <c r="AA293" s="13" t="b">
        <v>0</v>
      </c>
      <c r="AB293" s="13" t="b">
        <v>0</v>
      </c>
      <c r="AC293" s="13" t="b">
        <v>0</v>
      </c>
      <c r="AE293" s="27"/>
      <c r="AF293" s="27" t="str">
        <f>IFERROR(__xludf.DUMMYFUNCTION("""COMPUTED_VALUE"""),"quick,likert,map,minimal,search,columns-pack,columns,columns-n,no-buttons,image-map,label,list-nolabel,list")</f>
        <v>quick,likert,map,minimal,search,columns-pack,columns,columns-n,no-buttons,image-map,label,list-nolabel,list</v>
      </c>
      <c r="AG293" s="27"/>
      <c r="AH293" s="27"/>
      <c r="AI293" s="27"/>
    </row>
    <row r="294" hidden="1" outlineLevel="2" collapsed="1">
      <c r="A294" s="27" t="s">
        <v>113</v>
      </c>
      <c r="B294" s="30" t="s">
        <v>941</v>
      </c>
      <c r="C294" s="27"/>
      <c r="D294" s="27" t="s">
        <v>942</v>
      </c>
      <c r="E294" s="27"/>
      <c r="F294" s="27"/>
      <c r="G294" s="27"/>
      <c r="H294" s="27"/>
      <c r="I294" s="27"/>
      <c r="J294" s="27"/>
      <c r="K294" s="27"/>
      <c r="L294" s="27"/>
      <c r="M294" s="27"/>
      <c r="N294" s="13"/>
      <c r="O294" s="27"/>
      <c r="P294" s="27"/>
      <c r="Q294" s="13"/>
      <c r="R294" s="13"/>
      <c r="S294" s="13"/>
      <c r="T294" s="13"/>
      <c r="U294" s="13"/>
      <c r="V294" s="13"/>
      <c r="W294" s="13"/>
      <c r="X294" s="13"/>
      <c r="Y294" s="13" t="s">
        <v>45</v>
      </c>
      <c r="Z294" s="13"/>
      <c r="AA294" s="13" t="b">
        <v>0</v>
      </c>
      <c r="AB294" s="13" t="b">
        <v>0</v>
      </c>
      <c r="AC294" s="13" t="b">
        <v>0</v>
      </c>
      <c r="AD294" s="13"/>
      <c r="AE294" s="27"/>
      <c r="AF294" s="27" t="str">
        <f>IFERROR(__xludf.DUMMYFUNCTION("""COMPUTED_VALUE"""),"")</f>
        <v/>
      </c>
      <c r="AG294" s="27"/>
      <c r="AH294" s="27"/>
      <c r="AI294" s="27"/>
    </row>
    <row r="295" hidden="1" outlineLevel="3">
      <c r="A295" s="27" t="s">
        <v>80</v>
      </c>
      <c r="B295" s="30" t="s">
        <v>943</v>
      </c>
      <c r="C295" s="27"/>
      <c r="D295" s="27"/>
      <c r="E295" s="27"/>
      <c r="F295" s="27" t="s">
        <v>944</v>
      </c>
      <c r="G295" s="27"/>
      <c r="H295" s="27"/>
      <c r="I295" s="27"/>
      <c r="J295" s="27"/>
      <c r="K295" s="27"/>
      <c r="L295" s="27"/>
      <c r="M295" s="27"/>
      <c r="O295" s="27"/>
      <c r="P295" s="27"/>
      <c r="Y295" s="13" t="s">
        <v>45</v>
      </c>
      <c r="AA295" s="13" t="b">
        <v>0</v>
      </c>
      <c r="AB295" s="13" t="b">
        <v>0</v>
      </c>
      <c r="AC295" s="13" t="b">
        <v>0</v>
      </c>
      <c r="AE295" s="27"/>
      <c r="AF295" s="27" t="str">
        <f>IFERROR(__xludf.DUMMYFUNCTION("""COMPUTED_VALUE"""),"")</f>
        <v/>
      </c>
      <c r="AG295" s="27"/>
      <c r="AH295" s="27"/>
      <c r="AI295" s="27"/>
    </row>
    <row r="296" hidden="1" outlineLevel="3">
      <c r="A296" s="27" t="s">
        <v>324</v>
      </c>
      <c r="B296" s="30" t="s">
        <v>945</v>
      </c>
      <c r="C296" s="27" t="s">
        <v>946</v>
      </c>
      <c r="D296" s="27"/>
      <c r="E296" s="27"/>
      <c r="F296" s="27" t="s">
        <v>947</v>
      </c>
      <c r="G296" s="27" t="s">
        <v>107</v>
      </c>
      <c r="H296" s="27"/>
      <c r="I296" s="27"/>
      <c r="J296" s="27"/>
      <c r="K296" s="27"/>
      <c r="L296" s="27"/>
      <c r="M296" s="27"/>
      <c r="O296" s="27"/>
      <c r="P296" s="27" t="s">
        <v>136</v>
      </c>
      <c r="V296" s="13" t="s">
        <v>948</v>
      </c>
      <c r="W296" s="13" t="s">
        <v>949</v>
      </c>
      <c r="Y296" s="13" t="s">
        <v>949</v>
      </c>
      <c r="Z296" s="13" t="s">
        <v>950</v>
      </c>
      <c r="AA296" s="13" t="b">
        <v>0</v>
      </c>
      <c r="AB296" s="13" t="b">
        <v>0</v>
      </c>
      <c r="AC296" s="13" t="b">
        <v>0</v>
      </c>
      <c r="AE296" s="27"/>
      <c r="AF296" s="27" t="str">
        <f>IFERROR(__xludf.DUMMYFUNCTION("""COMPUTED_VALUE"""),"quick,likert,map,minimal,search,columns-pack,columns,columns-n,no-buttons,image-map,label,list-nolabel,list")</f>
        <v>quick,likert,map,minimal,search,columns-pack,columns,columns-n,no-buttons,image-map,label,list-nolabel,list</v>
      </c>
      <c r="AG296" s="27"/>
      <c r="AH296" s="27"/>
      <c r="AI296" s="27"/>
    </row>
    <row r="297" hidden="1" outlineLevel="3">
      <c r="A297" s="27" t="s">
        <v>951</v>
      </c>
      <c r="B297" s="30" t="s">
        <v>952</v>
      </c>
      <c r="C297" s="27" t="s">
        <v>953</v>
      </c>
      <c r="D297" s="27" t="s">
        <v>954</v>
      </c>
      <c r="E297" s="27"/>
      <c r="F297" s="27"/>
      <c r="G297" s="27" t="s">
        <v>107</v>
      </c>
      <c r="H297" s="27"/>
      <c r="I297" s="27"/>
      <c r="J297" s="27"/>
      <c r="K297" s="27"/>
      <c r="L297" s="27"/>
      <c r="M297" s="27"/>
      <c r="O297" s="27"/>
      <c r="P297" s="27"/>
      <c r="V297" s="13" t="s">
        <v>955</v>
      </c>
      <c r="W297" s="13" t="s">
        <v>956</v>
      </c>
      <c r="Y297" s="13" t="s">
        <v>956</v>
      </c>
      <c r="Z297" s="13" t="s">
        <v>957</v>
      </c>
      <c r="AA297" s="13" t="b">
        <v>0</v>
      </c>
      <c r="AB297" s="13" t="b">
        <v>0</v>
      </c>
      <c r="AC297" s="13" t="b">
        <v>0</v>
      </c>
      <c r="AE297" s="27"/>
      <c r="AF297" s="27" t="str">
        <f>IFERROR(__xludf.DUMMYFUNCTION("""COMPUTED_VALUE"""),"quick,likert,map,minimal,search,columns-pack,columns,columns-n,no-buttons,image-map,label,list-nolabel,list")</f>
        <v>quick,likert,map,minimal,search,columns-pack,columns,columns-n,no-buttons,image-map,label,list-nolabel,list</v>
      </c>
      <c r="AG297" s="27"/>
      <c r="AH297" s="27"/>
      <c r="AI297" s="27"/>
    </row>
    <row r="298" hidden="1" outlineLevel="3">
      <c r="A298" s="27" t="s">
        <v>170</v>
      </c>
      <c r="B298" s="30" t="s">
        <v>465</v>
      </c>
      <c r="C298" s="27" t="s">
        <v>958</v>
      </c>
      <c r="D298" s="27" t="s">
        <v>959</v>
      </c>
      <c r="E298" s="27"/>
      <c r="F298" s="27"/>
      <c r="G298" s="27" t="s">
        <v>107</v>
      </c>
      <c r="H298" s="27"/>
      <c r="I298" s="27"/>
      <c r="J298" s="27"/>
      <c r="K298" s="27"/>
      <c r="L298" s="27"/>
      <c r="M298" s="27"/>
      <c r="O298" s="27"/>
      <c r="P298" s="27"/>
      <c r="W298" s="13" t="s">
        <v>468</v>
      </c>
      <c r="Y298" s="13" t="s">
        <v>468</v>
      </c>
      <c r="AA298" s="13" t="b">
        <v>0</v>
      </c>
      <c r="AB298" s="13" t="b">
        <v>0</v>
      </c>
      <c r="AC298" s="13" t="b">
        <v>0</v>
      </c>
      <c r="AE298" s="27"/>
      <c r="AF298" s="27" t="str">
        <f>IFERROR(__xludf.DUMMYFUNCTION("""COMPUTED_VALUE"""),"numbers,multiline,url,ex:,thousands-sep")</f>
        <v>numbers,multiline,url,ex:,thousands-sep</v>
      </c>
      <c r="AG298" s="27"/>
      <c r="AH298" s="27"/>
      <c r="AI298" s="27"/>
    </row>
    <row r="299" hidden="1" outlineLevel="2">
      <c r="A299" s="27" t="s">
        <v>283</v>
      </c>
      <c r="B299" s="30"/>
      <c r="C299" s="27"/>
      <c r="D299" s="27"/>
      <c r="E299" s="27"/>
      <c r="F299" s="27"/>
      <c r="G299" s="27"/>
      <c r="H299" s="27"/>
      <c r="I299" s="27"/>
      <c r="J299" s="27"/>
      <c r="K299" s="27"/>
      <c r="L299" s="27"/>
      <c r="M299" s="27"/>
      <c r="N299" s="13"/>
      <c r="O299" s="27"/>
      <c r="P299" s="27"/>
      <c r="Q299" s="13"/>
      <c r="R299" s="13"/>
      <c r="S299" s="13"/>
      <c r="T299" s="13"/>
      <c r="U299" s="13"/>
      <c r="V299" s="13"/>
      <c r="W299" s="13"/>
      <c r="X299" s="13"/>
      <c r="Y299" s="13" t="s">
        <v>45</v>
      </c>
      <c r="Z299" s="13"/>
      <c r="AA299" s="13" t="b">
        <v>0</v>
      </c>
      <c r="AB299" s="13" t="b">
        <v>0</v>
      </c>
      <c r="AC299" s="13" t="b">
        <v>0</v>
      </c>
      <c r="AD299" s="13"/>
      <c r="AE299" s="27"/>
      <c r="AF299" s="27" t="str">
        <f>IFERROR(__xludf.DUMMYFUNCTION("""COMPUTED_VALUE"""),"")</f>
        <v/>
      </c>
      <c r="AG299" s="27"/>
      <c r="AH299" s="27"/>
      <c r="AI299" s="27"/>
    </row>
    <row r="300" hidden="1" outlineLevel="2">
      <c r="A300" s="27" t="s">
        <v>324</v>
      </c>
      <c r="B300" s="30" t="s">
        <v>960</v>
      </c>
      <c r="C300" s="27" t="s">
        <v>961</v>
      </c>
      <c r="D300" s="27" t="s">
        <v>962</v>
      </c>
      <c r="E300" s="27"/>
      <c r="F300" s="27"/>
      <c r="G300" s="27" t="s">
        <v>107</v>
      </c>
      <c r="H300" s="27"/>
      <c r="I300" s="27"/>
      <c r="J300" s="27" t="s">
        <v>963</v>
      </c>
      <c r="K300" s="27"/>
      <c r="L300" s="27"/>
      <c r="M300" s="27"/>
      <c r="O300" s="27"/>
      <c r="P300" s="27"/>
      <c r="V300" s="13" t="s">
        <v>964</v>
      </c>
      <c r="W300" s="13" t="s">
        <v>965</v>
      </c>
      <c r="Y300" s="13" t="s">
        <v>965</v>
      </c>
      <c r="AA300" s="13" t="b">
        <v>0</v>
      </c>
      <c r="AB300" s="13" t="b">
        <v>0</v>
      </c>
      <c r="AC300" s="13" t="b">
        <v>0</v>
      </c>
      <c r="AE300" s="27"/>
      <c r="AF300" s="27" t="str">
        <f>IFERROR(__xludf.DUMMYFUNCTION("""COMPUTED_VALUE"""),"quick,likert,map,minimal,search,columns-pack,columns,columns-n,no-buttons,image-map,label,list-nolabel,list")</f>
        <v>quick,likert,map,minimal,search,columns-pack,columns,columns-n,no-buttons,image-map,label,list-nolabel,list</v>
      </c>
      <c r="AG300" s="27"/>
      <c r="AH300" s="27"/>
      <c r="AI300" s="27"/>
    </row>
    <row r="301" hidden="1" outlineLevel="2">
      <c r="A301" s="27" t="s">
        <v>966</v>
      </c>
      <c r="B301" s="30" t="s">
        <v>967</v>
      </c>
      <c r="C301" s="27" t="s">
        <v>968</v>
      </c>
      <c r="D301" s="27" t="s">
        <v>969</v>
      </c>
      <c r="E301" s="27"/>
      <c r="F301" s="27"/>
      <c r="G301" s="27" t="s">
        <v>107</v>
      </c>
      <c r="H301" s="27"/>
      <c r="I301" s="27"/>
      <c r="J301" s="27" t="s">
        <v>970</v>
      </c>
      <c r="K301" s="27"/>
      <c r="L301" s="27"/>
      <c r="M301" s="27"/>
      <c r="O301" s="27"/>
      <c r="P301" s="27"/>
      <c r="V301" s="13" t="s">
        <v>971</v>
      </c>
      <c r="W301" s="13" t="s">
        <v>972</v>
      </c>
      <c r="Y301" s="13" t="s">
        <v>972</v>
      </c>
      <c r="AA301" s="13" t="b">
        <v>0</v>
      </c>
      <c r="AB301" s="13" t="b">
        <v>0</v>
      </c>
      <c r="AC301" s="13" t="b">
        <v>0</v>
      </c>
      <c r="AE301" s="27"/>
      <c r="AF301" s="27" t="str">
        <f>IFERROR(__xludf.DUMMYFUNCTION("""COMPUTED_VALUE"""),"minimal,search,columns-pack,columns,columns-n,no-buttons,image-map,label,list-nolabel,list")</f>
        <v>minimal,search,columns-pack,columns,columns-n,no-buttons,image-map,label,list-nolabel,list</v>
      </c>
      <c r="AG301" s="27"/>
      <c r="AH301" s="27"/>
      <c r="AI301" s="27"/>
    </row>
    <row r="302" hidden="1" outlineLevel="2">
      <c r="A302" s="27" t="s">
        <v>324</v>
      </c>
      <c r="B302" s="30" t="s">
        <v>973</v>
      </c>
      <c r="C302" s="27" t="s">
        <v>974</v>
      </c>
      <c r="D302" s="27"/>
      <c r="E302" s="27"/>
      <c r="F302" s="27"/>
      <c r="G302" s="27" t="s">
        <v>107</v>
      </c>
      <c r="H302" s="27"/>
      <c r="I302" s="27"/>
      <c r="J302" s="27" t="s">
        <v>963</v>
      </c>
      <c r="K302" s="27"/>
      <c r="L302" s="27"/>
      <c r="M302" s="27"/>
      <c r="O302" s="27"/>
      <c r="P302" s="27"/>
      <c r="V302" s="13" t="s">
        <v>975</v>
      </c>
      <c r="W302" s="13" t="s">
        <v>976</v>
      </c>
      <c r="Y302" s="13" t="s">
        <v>976</v>
      </c>
      <c r="AA302" s="13" t="b">
        <v>0</v>
      </c>
      <c r="AB302" s="13" t="b">
        <v>0</v>
      </c>
      <c r="AC302" s="13" t="b">
        <v>0</v>
      </c>
      <c r="AE302" s="27"/>
      <c r="AF302" s="27" t="str">
        <f>IFERROR(__xludf.DUMMYFUNCTION("""COMPUTED_VALUE"""),"quick,likert,map,minimal,search,columns-pack,columns,columns-n,no-buttons,image-map,label,list-nolabel,list")</f>
        <v>quick,likert,map,minimal,search,columns-pack,columns,columns-n,no-buttons,image-map,label,list-nolabel,list</v>
      </c>
      <c r="AG302" s="27"/>
      <c r="AH302" s="27"/>
      <c r="AI302" s="27"/>
    </row>
    <row r="303" hidden="1" outlineLevel="2">
      <c r="A303" s="27"/>
      <c r="B303" s="30"/>
      <c r="C303" s="27"/>
      <c r="D303" s="27"/>
      <c r="E303" s="27"/>
      <c r="F303" s="27"/>
      <c r="G303" s="27"/>
      <c r="H303" s="27"/>
      <c r="I303" s="27"/>
      <c r="J303" s="27"/>
      <c r="K303" s="27"/>
      <c r="L303" s="27"/>
      <c r="M303" s="27"/>
      <c r="O303" s="27"/>
      <c r="P303" s="27"/>
      <c r="Y303" s="13" t="s">
        <v>45</v>
      </c>
      <c r="AA303" s="13" t="b">
        <v>0</v>
      </c>
      <c r="AB303" s="13" t="b">
        <v>0</v>
      </c>
      <c r="AC303" s="13" t="b">
        <v>0</v>
      </c>
      <c r="AE303" s="27"/>
      <c r="AF303" s="27" t="str">
        <f>IFERROR(__xludf.DUMMYFUNCTION("""COMPUTED_VALUE"""),"")</f>
        <v/>
      </c>
      <c r="AG303" s="27"/>
      <c r="AH303" s="27"/>
      <c r="AI303" s="27"/>
    </row>
    <row r="304" hidden="1" outlineLevel="2" collapsed="1">
      <c r="A304" s="27" t="s">
        <v>113</v>
      </c>
      <c r="B304" s="30" t="s">
        <v>977</v>
      </c>
      <c r="C304" s="27"/>
      <c r="D304" s="27" t="s">
        <v>978</v>
      </c>
      <c r="E304" s="27"/>
      <c r="F304" s="27"/>
      <c r="G304" s="27"/>
      <c r="H304" s="27"/>
      <c r="I304" s="27"/>
      <c r="J304" s="27"/>
      <c r="K304" s="27"/>
      <c r="L304" s="27"/>
      <c r="M304" s="27"/>
      <c r="N304" s="13"/>
      <c r="O304" s="27"/>
      <c r="P304" s="27"/>
      <c r="Q304" s="13"/>
      <c r="R304" s="13"/>
      <c r="S304" s="13"/>
      <c r="T304" s="13"/>
      <c r="U304" s="13"/>
      <c r="V304" s="13"/>
      <c r="W304" s="13"/>
      <c r="X304" s="13"/>
      <c r="Y304" s="13" t="s">
        <v>45</v>
      </c>
      <c r="Z304" s="13"/>
      <c r="AA304" s="13" t="b">
        <v>0</v>
      </c>
      <c r="AB304" s="13" t="b">
        <v>0</v>
      </c>
      <c r="AC304" s="13" t="b">
        <v>0</v>
      </c>
      <c r="AD304" s="13"/>
      <c r="AE304" s="27"/>
      <c r="AF304" s="27" t="str">
        <f>IFERROR(__xludf.DUMMYFUNCTION("""COMPUTED_VALUE"""),"")</f>
        <v/>
      </c>
      <c r="AG304" s="27"/>
      <c r="AH304" s="27"/>
      <c r="AI304" s="27"/>
    </row>
    <row r="305" hidden="1" outlineLevel="3">
      <c r="A305" s="27" t="s">
        <v>966</v>
      </c>
      <c r="B305" s="30" t="s">
        <v>979</v>
      </c>
      <c r="C305" s="27" t="s">
        <v>980</v>
      </c>
      <c r="D305" s="27"/>
      <c r="E305" s="27"/>
      <c r="F305" s="27"/>
      <c r="G305" s="27" t="s">
        <v>107</v>
      </c>
      <c r="H305" s="27"/>
      <c r="I305" s="27"/>
      <c r="J305" s="27" t="s">
        <v>981</v>
      </c>
      <c r="K305" s="27"/>
      <c r="L305" s="27"/>
      <c r="M305" s="27"/>
      <c r="O305" s="27"/>
      <c r="P305" s="27"/>
      <c r="V305" s="13" t="s">
        <v>982</v>
      </c>
      <c r="W305" s="13" t="s">
        <v>983</v>
      </c>
      <c r="Y305" s="13" t="s">
        <v>983</v>
      </c>
      <c r="AA305" s="13" t="b">
        <v>0</v>
      </c>
      <c r="AB305" s="13" t="b">
        <v>0</v>
      </c>
      <c r="AC305" s="13" t="b">
        <v>0</v>
      </c>
      <c r="AE305" s="27"/>
      <c r="AF305" s="27" t="str">
        <f>IFERROR(__xludf.DUMMYFUNCTION("""COMPUTED_VALUE"""),"minimal,search,columns-pack,columns,columns-n,no-buttons,image-map,label,list-nolabel,list")</f>
        <v>minimal,search,columns-pack,columns,columns-n,no-buttons,image-map,label,list-nolabel,list</v>
      </c>
      <c r="AG305" s="27"/>
      <c r="AH305" s="27"/>
      <c r="AI305" s="27"/>
    </row>
    <row r="306" hidden="1" outlineLevel="3">
      <c r="A306" s="27" t="s">
        <v>667</v>
      </c>
      <c r="B306" s="30" t="s">
        <v>984</v>
      </c>
      <c r="C306" s="27" t="s">
        <v>985</v>
      </c>
      <c r="D306" s="27" t="s">
        <v>986</v>
      </c>
      <c r="E306" s="27" t="s">
        <v>987</v>
      </c>
      <c r="F306" s="27"/>
      <c r="G306" s="27" t="s">
        <v>107</v>
      </c>
      <c r="H306" s="27"/>
      <c r="I306" s="27"/>
      <c r="J306" s="27"/>
      <c r="K306" s="27" t="s">
        <v>988</v>
      </c>
      <c r="L306" s="27" t="s">
        <v>989</v>
      </c>
      <c r="M306" s="27"/>
      <c r="O306" s="27"/>
      <c r="P306" s="27"/>
      <c r="W306" s="13" t="s">
        <v>990</v>
      </c>
      <c r="Y306" s="13" t="s">
        <v>990</v>
      </c>
      <c r="Z306" s="13" t="s">
        <v>991</v>
      </c>
      <c r="AA306" s="13" t="b">
        <v>0</v>
      </c>
      <c r="AB306" s="13" t="b">
        <v>0</v>
      </c>
      <c r="AC306" s="13" t="b">
        <v>0</v>
      </c>
      <c r="AE306" s="27"/>
      <c r="AF306" s="27" t="str">
        <f>IFERROR(__xludf.DUMMYFUNCTION("""COMPUTED_VALUE"""),"vertical,no-ticks,picker,rating")</f>
        <v>vertical,no-ticks,picker,rating</v>
      </c>
      <c r="AG306" s="27"/>
      <c r="AH306" s="27"/>
      <c r="AI306" s="27"/>
    </row>
    <row r="307" hidden="1" outlineLevel="3">
      <c r="A307" s="27" t="s">
        <v>992</v>
      </c>
      <c r="B307" s="30" t="s">
        <v>993</v>
      </c>
      <c r="C307" s="27" t="s">
        <v>994</v>
      </c>
      <c r="D307" s="27" t="s">
        <v>995</v>
      </c>
      <c r="E307" s="27"/>
      <c r="F307" s="27"/>
      <c r="G307" s="27" t="s">
        <v>107</v>
      </c>
      <c r="H307" s="27"/>
      <c r="I307" s="27"/>
      <c r="J307" s="27"/>
      <c r="K307" s="27"/>
      <c r="L307" s="27"/>
      <c r="M307" s="27"/>
      <c r="O307" s="27"/>
      <c r="P307" s="27"/>
      <c r="W307" s="13" t="s">
        <v>996</v>
      </c>
      <c r="Y307" s="13" t="s">
        <v>996</v>
      </c>
      <c r="Z307" s="13" t="s">
        <v>997</v>
      </c>
      <c r="AA307" s="13" t="b">
        <v>0</v>
      </c>
      <c r="AB307" s="13" t="b">
        <v>0</v>
      </c>
      <c r="AC307" s="13" t="b">
        <v>0</v>
      </c>
      <c r="AE307" s="27"/>
      <c r="AF307" s="27" t="str">
        <f>IFERROR(__xludf.DUMMYFUNCTION("""COMPUTED_VALUE"""),"minimal,search,columns-pack,columns,columns-n,no-buttons,image-map,label,list-nolabel,list")</f>
        <v>minimal,search,columns-pack,columns,columns-n,no-buttons,image-map,label,list-nolabel,list</v>
      </c>
      <c r="AG307" s="27"/>
      <c r="AH307" s="27"/>
      <c r="AI307" s="27"/>
    </row>
    <row r="308" hidden="1" outlineLevel="3">
      <c r="A308" s="27" t="s">
        <v>170</v>
      </c>
      <c r="B308" s="30" t="s">
        <v>998</v>
      </c>
      <c r="C308" s="27" t="s">
        <v>999</v>
      </c>
      <c r="D308" s="27" t="s">
        <v>1000</v>
      </c>
      <c r="E308" s="27"/>
      <c r="F308" s="27"/>
      <c r="G308" s="27" t="s">
        <v>107</v>
      </c>
      <c r="H308" s="27"/>
      <c r="I308" s="27"/>
      <c r="J308" s="27"/>
      <c r="K308" s="27"/>
      <c r="L308" s="27"/>
      <c r="M308" s="27"/>
      <c r="O308" s="27"/>
      <c r="P308" s="27"/>
      <c r="W308" s="13" t="s">
        <v>1001</v>
      </c>
      <c r="Y308" s="13" t="s">
        <v>1001</v>
      </c>
      <c r="Z308" s="13" t="s">
        <v>1002</v>
      </c>
      <c r="AA308" s="13" t="b">
        <v>0</v>
      </c>
      <c r="AB308" s="13" t="b">
        <v>0</v>
      </c>
      <c r="AC308" s="13" t="b">
        <v>0</v>
      </c>
      <c r="AE308" s="27"/>
      <c r="AF308" s="27" t="str">
        <f>IFERROR(__xludf.DUMMYFUNCTION("""COMPUTED_VALUE"""),"numbers,multiline,url,ex:,thousands-sep")</f>
        <v>numbers,multiline,url,ex:,thousands-sep</v>
      </c>
      <c r="AG308" s="27"/>
      <c r="AH308" s="27"/>
      <c r="AI308" s="27"/>
    </row>
    <row r="309" hidden="1" outlineLevel="3">
      <c r="A309" s="27" t="s">
        <v>80</v>
      </c>
      <c r="B309" s="30" t="s">
        <v>1003</v>
      </c>
      <c r="C309" s="27"/>
      <c r="D309" s="27"/>
      <c r="E309" s="27"/>
      <c r="F309" s="27" t="s">
        <v>1004</v>
      </c>
      <c r="G309" s="27"/>
      <c r="H309" s="27"/>
      <c r="I309" s="27"/>
      <c r="J309" s="27"/>
      <c r="K309" s="27"/>
      <c r="L309" s="27"/>
      <c r="M309" s="27"/>
      <c r="O309" s="27"/>
      <c r="P309" s="27"/>
      <c r="Y309" s="13" t="s">
        <v>45</v>
      </c>
      <c r="AA309" s="13" t="b">
        <v>0</v>
      </c>
      <c r="AB309" s="13" t="b">
        <v>0</v>
      </c>
      <c r="AC309" s="13" t="b">
        <v>0</v>
      </c>
      <c r="AE309" s="27"/>
      <c r="AF309" s="27" t="str">
        <f>IFERROR(__xludf.DUMMYFUNCTION("""COMPUTED_VALUE"""),"")</f>
        <v/>
      </c>
      <c r="AG309" s="27"/>
      <c r="AH309" s="27"/>
      <c r="AI309" s="27"/>
    </row>
    <row r="310" hidden="1" outlineLevel="3">
      <c r="A310" s="27" t="s">
        <v>1005</v>
      </c>
      <c r="B310" s="30" t="s">
        <v>1006</v>
      </c>
      <c r="C310" s="27" t="s">
        <v>1007</v>
      </c>
      <c r="D310" s="27" t="s">
        <v>995</v>
      </c>
      <c r="E310" s="27"/>
      <c r="F310" s="27" t="s">
        <v>1008</v>
      </c>
      <c r="G310" s="27" t="s">
        <v>107</v>
      </c>
      <c r="H310" s="27"/>
      <c r="I310" s="27"/>
      <c r="J310" s="27"/>
      <c r="K310" s="27"/>
      <c r="L310" s="27"/>
      <c r="M310" s="27"/>
      <c r="O310" s="27"/>
      <c r="P310" s="27" t="s">
        <v>1009</v>
      </c>
      <c r="W310" s="13" t="s">
        <v>1010</v>
      </c>
      <c r="Y310" s="13" t="s">
        <v>1010</v>
      </c>
      <c r="AA310" s="13" t="b">
        <v>0</v>
      </c>
      <c r="AB310" s="13" t="b">
        <v>0</v>
      </c>
      <c r="AC310" s="13" t="b">
        <v>0</v>
      </c>
      <c r="AE310" s="27"/>
      <c r="AF310" s="27" t="str">
        <f>IFERROR(__xludf.DUMMYFUNCTION("""COMPUTED_VALUE"""),"minimal,search,columns-pack,columns,columns-n,no-buttons,image-map,label,list-nolabel,list")</f>
        <v>minimal,search,columns-pack,columns,columns-n,no-buttons,image-map,label,list-nolabel,list</v>
      </c>
      <c r="AG310" s="27"/>
      <c r="AH310" s="27"/>
      <c r="AI310" s="27"/>
    </row>
    <row r="311" hidden="1" outlineLevel="3">
      <c r="A311" s="27" t="s">
        <v>170</v>
      </c>
      <c r="B311" s="30" t="s">
        <v>1011</v>
      </c>
      <c r="C311" s="27" t="s">
        <v>1007</v>
      </c>
      <c r="D311" s="27" t="s">
        <v>1012</v>
      </c>
      <c r="E311" s="27"/>
      <c r="F311" s="27"/>
      <c r="G311" s="27" t="s">
        <v>107</v>
      </c>
      <c r="H311" s="27"/>
      <c r="I311" s="27"/>
      <c r="J311" s="27"/>
      <c r="K311" s="27"/>
      <c r="L311" s="27"/>
      <c r="M311" s="27"/>
      <c r="O311" s="27"/>
      <c r="P311" s="27"/>
      <c r="W311" s="13" t="s">
        <v>1010</v>
      </c>
      <c r="Y311" s="13" t="s">
        <v>1010</v>
      </c>
      <c r="AA311" s="13" t="b">
        <v>0</v>
      </c>
      <c r="AB311" s="13" t="b">
        <v>0</v>
      </c>
      <c r="AC311" s="13" t="b">
        <v>0</v>
      </c>
      <c r="AE311" s="27"/>
      <c r="AF311" s="27" t="str">
        <f>IFERROR(__xludf.DUMMYFUNCTION("""COMPUTED_VALUE"""),"numbers,multiline,url,ex:,thousands-sep")</f>
        <v>numbers,multiline,url,ex:,thousands-sep</v>
      </c>
      <c r="AG311" s="27"/>
      <c r="AH311" s="27"/>
      <c r="AI311" s="27"/>
    </row>
    <row r="312" hidden="1" outlineLevel="3">
      <c r="A312" s="27" t="s">
        <v>667</v>
      </c>
      <c r="B312" s="30" t="s">
        <v>1013</v>
      </c>
      <c r="C312" s="27" t="s">
        <v>1014</v>
      </c>
      <c r="D312" s="27" t="s">
        <v>1015</v>
      </c>
      <c r="E312" s="27"/>
      <c r="F312" s="27"/>
      <c r="G312" s="27" t="s">
        <v>107</v>
      </c>
      <c r="H312" s="27"/>
      <c r="I312" s="27"/>
      <c r="J312" s="27"/>
      <c r="K312" s="27" t="s">
        <v>1016</v>
      </c>
      <c r="L312" s="27" t="s">
        <v>1017</v>
      </c>
      <c r="M312" s="27"/>
      <c r="O312" s="27"/>
      <c r="P312" s="27"/>
      <c r="W312" s="13" t="s">
        <v>1018</v>
      </c>
      <c r="Y312" s="13" t="s">
        <v>1018</v>
      </c>
      <c r="AA312" s="13" t="b">
        <v>0</v>
      </c>
      <c r="AB312" s="13" t="b">
        <v>0</v>
      </c>
      <c r="AC312" s="13" t="b">
        <v>0</v>
      </c>
      <c r="AE312" s="27"/>
      <c r="AF312" s="27" t="str">
        <f>IFERROR(__xludf.DUMMYFUNCTION("""COMPUTED_VALUE"""),"vertical,no-ticks,picker,rating")</f>
        <v>vertical,no-ticks,picker,rating</v>
      </c>
      <c r="AG312" s="27"/>
      <c r="AH312" s="27"/>
      <c r="AI312" s="27"/>
    </row>
    <row r="313" hidden="1" outlineLevel="3">
      <c r="A313" s="27" t="s">
        <v>76</v>
      </c>
      <c r="B313" s="30" t="s">
        <v>1019</v>
      </c>
      <c r="C313" s="27" t="s">
        <v>1020</v>
      </c>
      <c r="D313" s="27" t="s">
        <v>1015</v>
      </c>
      <c r="E313" s="27"/>
      <c r="F313" s="27"/>
      <c r="G313" s="27"/>
      <c r="H313" s="27"/>
      <c r="I313" s="27"/>
      <c r="J313" s="27"/>
      <c r="K313" s="27"/>
      <c r="L313" s="27"/>
      <c r="M313" s="27"/>
      <c r="O313" s="27"/>
      <c r="P313" s="27"/>
      <c r="W313" s="13" t="s">
        <v>1021</v>
      </c>
      <c r="Y313" s="13" t="s">
        <v>1021</v>
      </c>
      <c r="AA313" s="13" t="b">
        <v>0</v>
      </c>
      <c r="AB313" s="13" t="b">
        <v>0</v>
      </c>
      <c r="AC313" s="13" t="b">
        <v>0</v>
      </c>
      <c r="AE313" s="27"/>
      <c r="AF313" s="27" t="str">
        <f>IFERROR(__xludf.DUMMYFUNCTION("""COMPUTED_VALUE"""),"")</f>
        <v/>
      </c>
      <c r="AG313" s="27"/>
      <c r="AH313" s="27"/>
      <c r="AI313" s="27"/>
    </row>
    <row r="314" hidden="1" outlineLevel="3">
      <c r="A314" s="27" t="s">
        <v>770</v>
      </c>
      <c r="B314" s="30" t="s">
        <v>1022</v>
      </c>
      <c r="C314" s="27" t="s">
        <v>1023</v>
      </c>
      <c r="D314" s="27" t="s">
        <v>1024</v>
      </c>
      <c r="E314" s="27"/>
      <c r="F314" s="27"/>
      <c r="G314" s="27" t="s">
        <v>107</v>
      </c>
      <c r="H314" s="27"/>
      <c r="I314" s="27"/>
      <c r="J314" s="27"/>
      <c r="K314" s="27"/>
      <c r="L314" s="27"/>
      <c r="M314" s="27"/>
      <c r="O314" s="27"/>
      <c r="P314" s="27"/>
      <c r="W314" s="13" t="s">
        <v>1025</v>
      </c>
      <c r="Y314" s="13" t="s">
        <v>1025</v>
      </c>
      <c r="AA314" s="13" t="b">
        <v>0</v>
      </c>
      <c r="AB314" s="13" t="b">
        <v>0</v>
      </c>
      <c r="AC314" s="13" t="b">
        <v>0</v>
      </c>
      <c r="AE314" s="27"/>
      <c r="AF314" s="27" t="str">
        <f>IFERROR(__xludf.DUMMYFUNCTION("""COMPUTED_VALUE"""),"ex:,thousands-sep,bearing")</f>
        <v>ex:,thousands-sep,bearing</v>
      </c>
      <c r="AG314" s="27"/>
      <c r="AH314" s="27"/>
      <c r="AI314" s="27"/>
    </row>
    <row r="315" hidden="1" outlineLevel="3">
      <c r="A315" s="27" t="s">
        <v>770</v>
      </c>
      <c r="B315" s="30" t="s">
        <v>1026</v>
      </c>
      <c r="C315" s="27" t="s">
        <v>1027</v>
      </c>
      <c r="D315" s="27" t="s">
        <v>1028</v>
      </c>
      <c r="E315" s="27"/>
      <c r="F315" s="27"/>
      <c r="G315" s="27" t="s">
        <v>107</v>
      </c>
      <c r="H315" s="27"/>
      <c r="I315" s="27"/>
      <c r="J315" s="27"/>
      <c r="K315" s="27"/>
      <c r="L315" s="27"/>
      <c r="M315" s="27"/>
      <c r="O315" s="27"/>
      <c r="P315" s="27"/>
      <c r="W315" s="13" t="s">
        <v>1029</v>
      </c>
      <c r="Y315" s="13" t="s">
        <v>1029</v>
      </c>
      <c r="AA315" s="13" t="b">
        <v>0</v>
      </c>
      <c r="AB315" s="13" t="b">
        <v>0</v>
      </c>
      <c r="AC315" s="13" t="b">
        <v>0</v>
      </c>
      <c r="AE315" s="27"/>
      <c r="AF315" s="27" t="str">
        <f>IFERROR(__xludf.DUMMYFUNCTION("""COMPUTED_VALUE"""),"ex:,thousands-sep,bearing")</f>
        <v>ex:,thousands-sep,bearing</v>
      </c>
      <c r="AG315" s="27"/>
      <c r="AH315" s="27"/>
      <c r="AI315" s="27"/>
    </row>
    <row r="316" hidden="1" outlineLevel="3">
      <c r="A316" s="27" t="s">
        <v>770</v>
      </c>
      <c r="B316" s="30" t="s">
        <v>1030</v>
      </c>
      <c r="C316" s="27" t="s">
        <v>1031</v>
      </c>
      <c r="D316" s="27" t="s">
        <v>1032</v>
      </c>
      <c r="E316" s="27"/>
      <c r="F316" s="27"/>
      <c r="G316" s="27" t="s">
        <v>107</v>
      </c>
      <c r="H316" s="27"/>
      <c r="I316" s="27"/>
      <c r="J316" s="27"/>
      <c r="K316" s="27"/>
      <c r="L316" s="27"/>
      <c r="M316" s="27"/>
      <c r="O316" s="27"/>
      <c r="P316" s="27"/>
      <c r="W316" s="13" t="s">
        <v>1033</v>
      </c>
      <c r="Y316" s="13" t="s">
        <v>1033</v>
      </c>
      <c r="AA316" s="13" t="b">
        <v>0</v>
      </c>
      <c r="AB316" s="13" t="b">
        <v>0</v>
      </c>
      <c r="AC316" s="13" t="b">
        <v>0</v>
      </c>
      <c r="AE316" s="27"/>
      <c r="AF316" s="27" t="str">
        <f>IFERROR(__xludf.DUMMYFUNCTION("""COMPUTED_VALUE"""),"ex:,thousands-sep,bearing")</f>
        <v>ex:,thousands-sep,bearing</v>
      </c>
      <c r="AG316" s="27"/>
      <c r="AH316" s="27"/>
      <c r="AI316" s="27"/>
    </row>
    <row r="317" hidden="1" outlineLevel="3">
      <c r="A317" s="27" t="s">
        <v>770</v>
      </c>
      <c r="B317" s="30" t="s">
        <v>1034</v>
      </c>
      <c r="C317" s="27" t="s">
        <v>1035</v>
      </c>
      <c r="D317" s="27" t="s">
        <v>1036</v>
      </c>
      <c r="E317" s="27"/>
      <c r="F317" s="27"/>
      <c r="G317" s="27" t="s">
        <v>107</v>
      </c>
      <c r="H317" s="27"/>
      <c r="I317" s="27"/>
      <c r="J317" s="27"/>
      <c r="K317" s="27"/>
      <c r="L317" s="27"/>
      <c r="M317" s="27"/>
      <c r="O317" s="27"/>
      <c r="P317" s="27"/>
      <c r="W317" s="13" t="s">
        <v>1037</v>
      </c>
      <c r="Y317" s="13" t="s">
        <v>1037</v>
      </c>
      <c r="AA317" s="13" t="b">
        <v>0</v>
      </c>
      <c r="AB317" s="13" t="b">
        <v>0</v>
      </c>
      <c r="AC317" s="13" t="b">
        <v>0</v>
      </c>
      <c r="AE317" s="27"/>
      <c r="AF317" s="27" t="str">
        <f>IFERROR(__xludf.DUMMYFUNCTION("""COMPUTED_VALUE"""),"ex:,thousands-sep,bearing")</f>
        <v>ex:,thousands-sep,bearing</v>
      </c>
      <c r="AG317" s="27"/>
      <c r="AH317" s="27"/>
      <c r="AI317" s="27"/>
    </row>
    <row r="318" hidden="1" outlineLevel="3">
      <c r="A318" s="27" t="s">
        <v>770</v>
      </c>
      <c r="B318" s="30" t="s">
        <v>1038</v>
      </c>
      <c r="C318" s="27" t="s">
        <v>1039</v>
      </c>
      <c r="D318" s="27" t="s">
        <v>1040</v>
      </c>
      <c r="E318" s="27"/>
      <c r="F318" s="27"/>
      <c r="G318" s="27" t="s">
        <v>107</v>
      </c>
      <c r="H318" s="27"/>
      <c r="I318" s="27"/>
      <c r="J318" s="27"/>
      <c r="K318" s="27"/>
      <c r="L318" s="27"/>
      <c r="M318" s="27"/>
      <c r="O318" s="27"/>
      <c r="P318" s="27"/>
      <c r="W318" s="13" t="s">
        <v>1041</v>
      </c>
      <c r="Y318" s="13" t="s">
        <v>1041</v>
      </c>
      <c r="AA318" s="13" t="b">
        <v>0</v>
      </c>
      <c r="AB318" s="13" t="b">
        <v>0</v>
      </c>
      <c r="AC318" s="13" t="b">
        <v>0</v>
      </c>
      <c r="AE318" s="27"/>
      <c r="AF318" s="27" t="str">
        <f>IFERROR(__xludf.DUMMYFUNCTION("""COMPUTED_VALUE"""),"ex:,thousands-sep,bearing")</f>
        <v>ex:,thousands-sep,bearing</v>
      </c>
      <c r="AG318" s="27"/>
      <c r="AH318" s="27"/>
      <c r="AI318" s="27"/>
    </row>
    <row r="319" hidden="1" outlineLevel="3">
      <c r="A319" s="27" t="s">
        <v>150</v>
      </c>
      <c r="B319" s="30" t="s">
        <v>1042</v>
      </c>
      <c r="C319" s="27" t="s">
        <v>1043</v>
      </c>
      <c r="D319" s="27" t="s">
        <v>1044</v>
      </c>
      <c r="E319" s="27"/>
      <c r="F319" s="27"/>
      <c r="G319" s="27"/>
      <c r="H319" s="27"/>
      <c r="I319" s="27"/>
      <c r="J319" s="27"/>
      <c r="K319" s="27"/>
      <c r="L319" s="27"/>
      <c r="M319" s="27"/>
      <c r="O319" s="27"/>
      <c r="P319" s="27"/>
      <c r="W319" s="13" t="s">
        <v>1045</v>
      </c>
      <c r="Y319" s="13" t="s">
        <v>1045</v>
      </c>
      <c r="AA319" s="13" t="b">
        <v>0</v>
      </c>
      <c r="AB319" s="13" t="b">
        <v>0</v>
      </c>
      <c r="AC319" s="13" t="b">
        <v>0</v>
      </c>
      <c r="AE319" s="27"/>
      <c r="AF319" s="27" t="str">
        <f>IFERROR(__xludf.DUMMYFUNCTION("""COMPUTED_VALUE"""),"ex:,thousands-sep,counter")</f>
        <v>ex:,thousands-sep,counter</v>
      </c>
      <c r="AG319" s="27"/>
      <c r="AH319" s="27"/>
      <c r="AI319" s="27"/>
    </row>
    <row r="320" hidden="1" outlineLevel="3">
      <c r="A320" s="27" t="s">
        <v>231</v>
      </c>
      <c r="B320" s="30" t="s">
        <v>1046</v>
      </c>
      <c r="C320" s="27" t="s">
        <v>1047</v>
      </c>
      <c r="D320" s="27" t="s">
        <v>1044</v>
      </c>
      <c r="E320" s="27"/>
      <c r="F320" s="27"/>
      <c r="G320" s="27"/>
      <c r="H320" s="27"/>
      <c r="I320" s="27"/>
      <c r="J320" s="27"/>
      <c r="K320" s="27"/>
      <c r="L320" s="27" t="s">
        <v>308</v>
      </c>
      <c r="M320" s="27"/>
      <c r="O320" s="27"/>
      <c r="P320" s="27"/>
      <c r="W320" s="13" t="s">
        <v>1048</v>
      </c>
      <c r="Y320" s="13" t="s">
        <v>1048</v>
      </c>
      <c r="AA320" s="13" t="b">
        <v>0</v>
      </c>
      <c r="AB320" s="13" t="b">
        <v>0</v>
      </c>
      <c r="AC320" s="13" t="b">
        <v>0</v>
      </c>
      <c r="AE320" s="27"/>
      <c r="AF320" s="27" t="str">
        <f>IFERROR(__xludf.DUMMYFUNCTION("""COMPUTED_VALUE"""),"")</f>
        <v/>
      </c>
      <c r="AG320" s="27"/>
      <c r="AH320" s="27"/>
      <c r="AI320" s="27"/>
    </row>
    <row r="321" hidden="1" outlineLevel="3">
      <c r="A321" s="27" t="s">
        <v>231</v>
      </c>
      <c r="B321" s="30" t="s">
        <v>1049</v>
      </c>
      <c r="C321" s="27" t="s">
        <v>1050</v>
      </c>
      <c r="D321" s="27" t="s">
        <v>986</v>
      </c>
      <c r="E321" s="27"/>
      <c r="F321" s="27"/>
      <c r="G321" s="27"/>
      <c r="H321" s="27"/>
      <c r="I321" s="27"/>
      <c r="J321" s="27"/>
      <c r="K321" s="27"/>
      <c r="L321" s="27" t="s">
        <v>308</v>
      </c>
      <c r="M321" s="27"/>
      <c r="O321" s="27"/>
      <c r="P321" s="27"/>
      <c r="W321" s="13" t="s">
        <v>1051</v>
      </c>
      <c r="Y321" s="13" t="s">
        <v>1051</v>
      </c>
      <c r="AA321" s="13" t="b">
        <v>0</v>
      </c>
      <c r="AB321" s="13" t="b">
        <v>0</v>
      </c>
      <c r="AC321" s="13" t="b">
        <v>0</v>
      </c>
      <c r="AE321" s="27"/>
      <c r="AF321" s="27" t="str">
        <f>IFERROR(__xludf.DUMMYFUNCTION("""COMPUTED_VALUE"""),"")</f>
        <v/>
      </c>
      <c r="AG321" s="27"/>
      <c r="AH321" s="27"/>
      <c r="AI321" s="27"/>
    </row>
    <row r="322" hidden="1" outlineLevel="3">
      <c r="A322" s="27" t="s">
        <v>231</v>
      </c>
      <c r="B322" s="30" t="s">
        <v>1052</v>
      </c>
      <c r="C322" s="27" t="s">
        <v>1053</v>
      </c>
      <c r="D322" s="27" t="s">
        <v>1015</v>
      </c>
      <c r="E322" s="27"/>
      <c r="F322" s="27"/>
      <c r="G322" s="27" t="s">
        <v>107</v>
      </c>
      <c r="H322" s="27"/>
      <c r="I322" s="27"/>
      <c r="J322" s="27"/>
      <c r="K322" s="27"/>
      <c r="L322" s="27" t="s">
        <v>308</v>
      </c>
      <c r="M322" s="27"/>
      <c r="O322" s="27"/>
      <c r="P322" s="27"/>
      <c r="W322" s="13" t="s">
        <v>1054</v>
      </c>
      <c r="Y322" s="13" t="s">
        <v>1054</v>
      </c>
      <c r="AA322" s="13" t="b">
        <v>0</v>
      </c>
      <c r="AB322" s="13" t="b">
        <v>0</v>
      </c>
      <c r="AC322" s="13" t="b">
        <v>0</v>
      </c>
      <c r="AE322" s="27"/>
      <c r="AF322" s="27" t="str">
        <f>IFERROR(__xludf.DUMMYFUNCTION("""COMPUTED_VALUE"""),"")</f>
        <v/>
      </c>
      <c r="AG322" s="27"/>
      <c r="AH322" s="27"/>
      <c r="AI322" s="27"/>
    </row>
    <row r="323" hidden="1" outlineLevel="2">
      <c r="A323" s="27" t="s">
        <v>283</v>
      </c>
      <c r="B323" s="30"/>
      <c r="C323" s="27"/>
      <c r="D323" s="27"/>
      <c r="E323" s="27"/>
      <c r="F323" s="27"/>
      <c r="G323" s="27"/>
      <c r="H323" s="27"/>
      <c r="I323" s="27"/>
      <c r="J323" s="27"/>
      <c r="K323" s="27"/>
      <c r="L323" s="27"/>
      <c r="M323" s="27"/>
      <c r="N323" s="13"/>
      <c r="O323" s="27"/>
      <c r="P323" s="27"/>
      <c r="Q323" s="13"/>
      <c r="R323" s="13"/>
      <c r="S323" s="13"/>
      <c r="T323" s="13"/>
      <c r="U323" s="13"/>
      <c r="V323" s="13"/>
      <c r="W323" s="13"/>
      <c r="X323" s="13"/>
      <c r="Y323" s="13" t="s">
        <v>45</v>
      </c>
      <c r="Z323" s="13"/>
      <c r="AA323" s="13" t="b">
        <v>0</v>
      </c>
      <c r="AB323" s="13" t="b">
        <v>0</v>
      </c>
      <c r="AC323" s="13" t="b">
        <v>0</v>
      </c>
      <c r="AD323" s="13"/>
      <c r="AE323" s="27"/>
      <c r="AF323" s="27" t="str">
        <f>IFERROR(__xludf.DUMMYFUNCTION("""COMPUTED_VALUE"""),"")</f>
        <v/>
      </c>
      <c r="AG323" s="27"/>
      <c r="AH323" s="27"/>
      <c r="AI323" s="27"/>
    </row>
    <row r="324" hidden="1" outlineLevel="2">
      <c r="A324" s="27"/>
      <c r="B324" s="30"/>
      <c r="C324" s="27"/>
      <c r="D324" s="27"/>
      <c r="E324" s="27"/>
      <c r="F324" s="27"/>
      <c r="G324" s="27"/>
      <c r="H324" s="27"/>
      <c r="I324" s="27"/>
      <c r="J324" s="27"/>
      <c r="K324" s="27"/>
      <c r="L324" s="27"/>
      <c r="M324" s="27"/>
      <c r="O324" s="27"/>
      <c r="P324" s="27"/>
      <c r="Y324" s="13" t="s">
        <v>45</v>
      </c>
      <c r="AA324" s="13" t="b">
        <v>0</v>
      </c>
      <c r="AB324" s="13" t="b">
        <v>0</v>
      </c>
      <c r="AC324" s="13" t="b">
        <v>0</v>
      </c>
      <c r="AE324" s="27"/>
      <c r="AF324" s="27" t="str">
        <f>IFERROR(__xludf.DUMMYFUNCTION("""COMPUTED_VALUE"""),"")</f>
        <v/>
      </c>
      <c r="AG324" s="27"/>
      <c r="AH324" s="27"/>
      <c r="AI324" s="27"/>
    </row>
    <row r="325" hidden="1" outlineLevel="2">
      <c r="A325" s="27"/>
      <c r="B325" s="30"/>
      <c r="C325" s="27"/>
      <c r="D325" s="27"/>
      <c r="E325" s="27"/>
      <c r="F325" s="27"/>
      <c r="G325" s="27"/>
      <c r="H325" s="27"/>
      <c r="I325" s="27"/>
      <c r="J325" s="27"/>
      <c r="K325" s="27"/>
      <c r="L325" s="27"/>
      <c r="M325" s="27"/>
      <c r="O325" s="27"/>
      <c r="P325" s="27"/>
      <c r="Y325" s="13" t="s">
        <v>45</v>
      </c>
      <c r="AA325" s="13" t="b">
        <v>0</v>
      </c>
      <c r="AB325" s="13" t="b">
        <v>0</v>
      </c>
      <c r="AC325" s="13" t="b">
        <v>0</v>
      </c>
      <c r="AE325" s="27"/>
      <c r="AF325" s="27" t="str">
        <f>IFERROR(__xludf.DUMMYFUNCTION("""COMPUTED_VALUE"""),"")</f>
        <v/>
      </c>
      <c r="AG325" s="27"/>
      <c r="AH325" s="27"/>
      <c r="AI325" s="27"/>
    </row>
    <row r="326" hidden="1" outlineLevel="2">
      <c r="A326" s="27"/>
      <c r="B326" s="30"/>
      <c r="C326" s="27"/>
      <c r="D326" s="27"/>
      <c r="E326" s="27"/>
      <c r="F326" s="27"/>
      <c r="G326" s="27"/>
      <c r="H326" s="27"/>
      <c r="I326" s="27"/>
      <c r="J326" s="27"/>
      <c r="K326" s="27"/>
      <c r="L326" s="27"/>
      <c r="M326" s="27"/>
      <c r="O326" s="27"/>
      <c r="P326" s="27"/>
      <c r="Y326" s="13" t="s">
        <v>45</v>
      </c>
      <c r="AA326" s="13" t="b">
        <v>0</v>
      </c>
      <c r="AB326" s="13" t="b">
        <v>0</v>
      </c>
      <c r="AC326" s="13" t="b">
        <v>0</v>
      </c>
      <c r="AE326" s="27"/>
      <c r="AF326" s="27" t="str">
        <f>IFERROR(__xludf.DUMMYFUNCTION("""COMPUTED_VALUE"""),"")</f>
        <v/>
      </c>
      <c r="AG326" s="27"/>
      <c r="AH326" s="27"/>
      <c r="AI326" s="27"/>
    </row>
    <row r="327" hidden="1" outlineLevel="2" collapsed="1">
      <c r="A327" s="27" t="s">
        <v>113</v>
      </c>
      <c r="B327" s="30" t="s">
        <v>1055</v>
      </c>
      <c r="C327" s="27"/>
      <c r="D327" s="27" t="s">
        <v>1056</v>
      </c>
      <c r="E327" s="27"/>
      <c r="F327" s="27"/>
      <c r="G327" s="27"/>
      <c r="H327" s="27"/>
      <c r="I327" s="27"/>
      <c r="J327" s="27"/>
      <c r="K327" s="27"/>
      <c r="L327" s="27"/>
      <c r="M327" s="27"/>
      <c r="N327" s="13"/>
      <c r="O327" s="27"/>
      <c r="P327" s="27"/>
      <c r="Q327" s="13"/>
      <c r="R327" s="13"/>
      <c r="S327" s="13"/>
      <c r="T327" s="13"/>
      <c r="U327" s="13"/>
      <c r="V327" s="13"/>
      <c r="W327" s="13"/>
      <c r="X327" s="13"/>
      <c r="Y327" s="13" t="s">
        <v>45</v>
      </c>
      <c r="Z327" s="13"/>
      <c r="AA327" s="13" t="b">
        <v>0</v>
      </c>
      <c r="AB327" s="13" t="b">
        <v>0</v>
      </c>
      <c r="AC327" s="13" t="b">
        <v>0</v>
      </c>
      <c r="AD327" s="13"/>
      <c r="AE327" s="27"/>
      <c r="AF327" s="27" t="str">
        <f>IFERROR(__xludf.DUMMYFUNCTION("""COMPUTED_VALUE"""),"")</f>
        <v/>
      </c>
      <c r="AG327" s="27"/>
      <c r="AH327" s="27"/>
      <c r="AI327" s="27"/>
    </row>
    <row r="328" hidden="1" outlineLevel="3">
      <c r="A328" s="27" t="s">
        <v>1057</v>
      </c>
      <c r="B328" s="30" t="s">
        <v>1058</v>
      </c>
      <c r="C328" s="27" t="s">
        <v>1059</v>
      </c>
      <c r="D328" s="27"/>
      <c r="E328" s="27"/>
      <c r="F328" s="27"/>
      <c r="G328" s="27" t="s">
        <v>107</v>
      </c>
      <c r="H328" s="27"/>
      <c r="I328" s="27"/>
      <c r="J328" s="27"/>
      <c r="K328" s="27"/>
      <c r="L328" s="27"/>
      <c r="M328" s="27"/>
      <c r="O328" s="27"/>
      <c r="P328" s="27"/>
      <c r="V328" s="13" t="s">
        <v>1060</v>
      </c>
      <c r="W328" s="13" t="s">
        <v>1061</v>
      </c>
      <c r="Y328" s="13" t="s">
        <v>1061</v>
      </c>
      <c r="Z328" s="13" t="s">
        <v>1062</v>
      </c>
      <c r="AA328" s="13" t="b">
        <v>0</v>
      </c>
      <c r="AB328" s="13" t="b">
        <v>0</v>
      </c>
      <c r="AC328" s="13" t="b">
        <v>0</v>
      </c>
      <c r="AE328" s="27"/>
      <c r="AF328" s="27" t="str">
        <f>IFERROR(__xludf.DUMMYFUNCTION("""COMPUTED_VALUE"""),"minimal,search,columns-pack,columns,columns-n,no-buttons,image-map,label,list-nolabel,list")</f>
        <v>minimal,search,columns-pack,columns,columns-n,no-buttons,image-map,label,list-nolabel,list</v>
      </c>
      <c r="AG328" s="27"/>
      <c r="AH328" s="27"/>
      <c r="AI328" s="27"/>
    </row>
    <row r="329" hidden="1" outlineLevel="3">
      <c r="A329" s="27" t="s">
        <v>193</v>
      </c>
      <c r="B329" s="30" t="s">
        <v>1063</v>
      </c>
      <c r="C329" s="27" t="s">
        <v>1064</v>
      </c>
      <c r="D329" s="27" t="s">
        <v>1065</v>
      </c>
      <c r="E329" s="27"/>
      <c r="F329" s="27"/>
      <c r="G329" s="27" t="s">
        <v>107</v>
      </c>
      <c r="H329" s="27"/>
      <c r="I329" s="27"/>
      <c r="J329" s="27"/>
      <c r="K329" s="27"/>
      <c r="L329" s="27"/>
      <c r="M329" s="27"/>
      <c r="O329" s="27"/>
      <c r="P329" s="27"/>
      <c r="W329" s="13" t="s">
        <v>1066</v>
      </c>
      <c r="Y329" s="13" t="s">
        <v>1066</v>
      </c>
      <c r="AA329" s="13" t="b">
        <v>0</v>
      </c>
      <c r="AB329" s="13" t="b">
        <v>0</v>
      </c>
      <c r="AC329" s="13" t="b">
        <v>0</v>
      </c>
      <c r="AE329" s="27"/>
      <c r="AF329" s="27" t="str">
        <f>IFERROR(__xludf.DUMMYFUNCTION("""COMPUTED_VALUE"""),"ex:,new")</f>
        <v>ex:,new</v>
      </c>
      <c r="AG329" s="27"/>
      <c r="AH329" s="27"/>
      <c r="AI329" s="27"/>
    </row>
    <row r="330" hidden="1" outlineLevel="3">
      <c r="A330" s="27" t="s">
        <v>80</v>
      </c>
      <c r="B330" s="30" t="s">
        <v>1067</v>
      </c>
      <c r="C330" s="27"/>
      <c r="D330" s="27"/>
      <c r="E330" s="27"/>
      <c r="F330" s="27" t="s">
        <v>1068</v>
      </c>
      <c r="G330" s="27"/>
      <c r="H330" s="27"/>
      <c r="I330" s="27"/>
      <c r="J330" s="27"/>
      <c r="K330" s="27"/>
      <c r="L330" s="27"/>
      <c r="M330" s="27"/>
      <c r="O330" s="27"/>
      <c r="P330" s="27"/>
      <c r="AA330" s="13" t="b">
        <v>0</v>
      </c>
      <c r="AB330" s="13" t="b">
        <v>0</v>
      </c>
      <c r="AC330" s="13" t="b">
        <v>0</v>
      </c>
      <c r="AE330" s="27"/>
      <c r="AF330" s="27" t="str">
        <f>IFERROR(__xludf.DUMMYFUNCTION("""COMPUTED_VALUE"""),"")</f>
        <v/>
      </c>
      <c r="AG330" s="27"/>
      <c r="AH330" s="27"/>
      <c r="AI330" s="27"/>
    </row>
    <row r="331" hidden="1" outlineLevel="3">
      <c r="A331" s="27" t="s">
        <v>1069</v>
      </c>
      <c r="B331" s="30" t="s">
        <v>1070</v>
      </c>
      <c r="C331" s="27" t="s">
        <v>1071</v>
      </c>
      <c r="D331" s="27"/>
      <c r="E331" s="27"/>
      <c r="F331" s="27"/>
      <c r="G331" s="27"/>
      <c r="H331" s="27"/>
      <c r="I331" s="27"/>
      <c r="J331" s="27" t="s">
        <v>1072</v>
      </c>
      <c r="K331" s="27"/>
      <c r="L331" s="27"/>
      <c r="M331" s="27"/>
      <c r="O331" s="27"/>
      <c r="P331" s="27"/>
      <c r="V331" s="13" t="s">
        <v>1073</v>
      </c>
      <c r="W331" s="13" t="s">
        <v>1074</v>
      </c>
      <c r="Y331" s="13" t="s">
        <v>1074</v>
      </c>
      <c r="AA331" s="13" t="b">
        <v>0</v>
      </c>
      <c r="AB331" s="13" t="b">
        <v>0</v>
      </c>
      <c r="AC331" s="13" t="b">
        <v>0</v>
      </c>
      <c r="AE331" s="27"/>
      <c r="AF331" s="27" t="str">
        <f>IFERROR(__xludf.DUMMYFUNCTION("""COMPUTED_VALUE"""),"minimal,search,columns-pack,columns,columns-n,no-buttons,image-map,label,list-nolabel,list")</f>
        <v>minimal,search,columns-pack,columns,columns-n,no-buttons,image-map,label,list-nolabel,list</v>
      </c>
      <c r="AG331" s="27"/>
      <c r="AH331" s="27"/>
      <c r="AI331" s="27"/>
    </row>
    <row r="332" hidden="1" outlineLevel="3">
      <c r="A332" s="27" t="s">
        <v>1075</v>
      </c>
      <c r="B332" s="30" t="s">
        <v>1076</v>
      </c>
      <c r="C332" s="27" t="s">
        <v>1077</v>
      </c>
      <c r="D332" s="27" t="s">
        <v>1078</v>
      </c>
      <c r="E332" s="27"/>
      <c r="F332" s="27"/>
      <c r="G332" s="27"/>
      <c r="H332" s="27"/>
      <c r="I332" s="27"/>
      <c r="J332" s="27"/>
      <c r="K332" s="27"/>
      <c r="L332" s="27"/>
      <c r="M332" s="27"/>
      <c r="O332" s="27"/>
      <c r="P332" s="27"/>
      <c r="W332" s="13" t="s">
        <v>1079</v>
      </c>
      <c r="Y332" s="13" t="s">
        <v>1079</v>
      </c>
      <c r="Z332" s="13" t="s">
        <v>1080</v>
      </c>
      <c r="AA332" s="13" t="b">
        <v>0</v>
      </c>
      <c r="AB332" s="13" t="b">
        <v>0</v>
      </c>
      <c r="AC332" s="13" t="b">
        <v>0</v>
      </c>
      <c r="AE332" s="27"/>
      <c r="AF332" s="27" t="str">
        <f>IFERROR(__xludf.DUMMYFUNCTION("""COMPUTED_VALUE"""),"minimal,search,columns-pack,columns,columns-n,no-buttons,image-map,label,list-nolabel,list")</f>
        <v>minimal,search,columns-pack,columns,columns-n,no-buttons,image-map,label,list-nolabel,list</v>
      </c>
      <c r="AG332" s="27"/>
      <c r="AH332" s="27"/>
      <c r="AI332" s="27"/>
    </row>
    <row r="333" hidden="1" outlineLevel="3">
      <c r="A333" s="27" t="s">
        <v>1081</v>
      </c>
      <c r="B333" s="30" t="s">
        <v>1082</v>
      </c>
      <c r="C333" s="27" t="s">
        <v>1083</v>
      </c>
      <c r="D333" s="27" t="s">
        <v>1084</v>
      </c>
      <c r="E333" s="27"/>
      <c r="F333" s="27"/>
      <c r="G333" s="27"/>
      <c r="H333" s="27"/>
      <c r="I333" s="27"/>
      <c r="J333" s="27"/>
      <c r="K333" s="27"/>
      <c r="L333" s="27"/>
      <c r="M333" s="27"/>
      <c r="O333" s="27"/>
      <c r="P333" s="27"/>
      <c r="W333" s="13" t="s">
        <v>1085</v>
      </c>
      <c r="Y333" s="13" t="s">
        <v>1085</v>
      </c>
      <c r="Z333" s="13" t="s">
        <v>1086</v>
      </c>
      <c r="AA333" s="13" t="b">
        <v>0</v>
      </c>
      <c r="AB333" s="13" t="b">
        <v>0</v>
      </c>
      <c r="AC333" s="13" t="b">
        <v>0</v>
      </c>
      <c r="AE333" s="27"/>
      <c r="AF333" s="27" t="str">
        <f>IFERROR(__xludf.DUMMYFUNCTION("""COMPUTED_VALUE"""),"minimal,search,columns-pack,columns,columns-n,no-buttons,image-map,label,list-nolabel,list")</f>
        <v>minimal,search,columns-pack,columns,columns-n,no-buttons,image-map,label,list-nolabel,list</v>
      </c>
      <c r="AG333" s="27"/>
      <c r="AH333" s="27"/>
      <c r="AI333" s="27"/>
    </row>
    <row r="334" hidden="1" outlineLevel="3">
      <c r="A334" s="27" t="s">
        <v>231</v>
      </c>
      <c r="B334" s="30" t="s">
        <v>1087</v>
      </c>
      <c r="C334" s="27" t="s">
        <v>1088</v>
      </c>
      <c r="D334" s="27" t="s">
        <v>1089</v>
      </c>
      <c r="E334" s="27"/>
      <c r="F334" s="27"/>
      <c r="G334" s="27" t="s">
        <v>107</v>
      </c>
      <c r="H334" s="27"/>
      <c r="I334" s="27"/>
      <c r="J334" s="27"/>
      <c r="K334" s="27"/>
      <c r="L334" s="27" t="s">
        <v>308</v>
      </c>
      <c r="M334" s="27"/>
      <c r="O334" s="27"/>
      <c r="P334" s="27"/>
      <c r="V334" s="13" t="s">
        <v>310</v>
      </c>
      <c r="W334" s="13" t="s">
        <v>1090</v>
      </c>
      <c r="Y334" s="13" t="s">
        <v>1090</v>
      </c>
      <c r="Z334" s="13" t="s">
        <v>1091</v>
      </c>
      <c r="AA334" s="13" t="b">
        <v>0</v>
      </c>
      <c r="AB334" s="13" t="b">
        <v>0</v>
      </c>
      <c r="AC334" s="13" t="b">
        <v>0</v>
      </c>
      <c r="AE334" s="27"/>
      <c r="AF334" s="27" t="str">
        <f>IFERROR(__xludf.DUMMYFUNCTION("""COMPUTED_VALUE"""),"")</f>
        <v/>
      </c>
      <c r="AG334" s="27"/>
      <c r="AH334" s="27"/>
      <c r="AI334" s="27"/>
    </row>
    <row r="335" hidden="1" outlineLevel="3">
      <c r="A335" s="27" t="s">
        <v>231</v>
      </c>
      <c r="B335" s="30" t="s">
        <v>1092</v>
      </c>
      <c r="C335" s="27" t="s">
        <v>1093</v>
      </c>
      <c r="D335" s="27" t="s">
        <v>1094</v>
      </c>
      <c r="E335" s="27"/>
      <c r="F335" s="27"/>
      <c r="G335" s="27" t="s">
        <v>107</v>
      </c>
      <c r="H335" s="27"/>
      <c r="I335" s="27"/>
      <c r="J335" s="27"/>
      <c r="K335" s="27"/>
      <c r="L335" s="27" t="s">
        <v>308</v>
      </c>
      <c r="M335" s="27"/>
      <c r="O335" s="27"/>
      <c r="P335" s="27"/>
      <c r="V335" s="13" t="s">
        <v>310</v>
      </c>
      <c r="W335" s="13" t="s">
        <v>1095</v>
      </c>
      <c r="Y335" s="13" t="s">
        <v>1095</v>
      </c>
      <c r="Z335" s="13" t="s">
        <v>1096</v>
      </c>
      <c r="AA335" s="13" t="b">
        <v>0</v>
      </c>
      <c r="AB335" s="13" t="b">
        <v>0</v>
      </c>
      <c r="AC335" s="13" t="b">
        <v>0</v>
      </c>
      <c r="AE335" s="27"/>
      <c r="AF335" s="27" t="str">
        <f>IFERROR(__xludf.DUMMYFUNCTION("""COMPUTED_VALUE"""),"")</f>
        <v/>
      </c>
      <c r="AG335" s="27"/>
      <c r="AH335" s="27"/>
      <c r="AI335" s="27"/>
    </row>
    <row r="336" hidden="1" outlineLevel="3">
      <c r="A336" s="27" t="s">
        <v>231</v>
      </c>
      <c r="B336" s="30" t="s">
        <v>1097</v>
      </c>
      <c r="C336" s="27" t="s">
        <v>1098</v>
      </c>
      <c r="D336" s="27" t="s">
        <v>1099</v>
      </c>
      <c r="E336" s="27"/>
      <c r="F336" s="27"/>
      <c r="G336" s="27" t="s">
        <v>107</v>
      </c>
      <c r="H336" s="27"/>
      <c r="I336" s="27"/>
      <c r="J336" s="27"/>
      <c r="K336" s="27"/>
      <c r="L336" s="27" t="s">
        <v>308</v>
      </c>
      <c r="M336" s="27"/>
      <c r="O336" s="27"/>
      <c r="P336" s="27"/>
      <c r="V336" s="13" t="s">
        <v>310</v>
      </c>
      <c r="W336" s="13" t="s">
        <v>1100</v>
      </c>
      <c r="Y336" s="13" t="s">
        <v>1100</v>
      </c>
      <c r="Z336" s="13" t="s">
        <v>1101</v>
      </c>
      <c r="AA336" s="13" t="b">
        <v>0</v>
      </c>
      <c r="AB336" s="13" t="b">
        <v>0</v>
      </c>
      <c r="AC336" s="13" t="b">
        <v>0</v>
      </c>
      <c r="AE336" s="27"/>
      <c r="AF336" s="27" t="str">
        <f>IFERROR(__xludf.DUMMYFUNCTION("""COMPUTED_VALUE"""),"")</f>
        <v/>
      </c>
      <c r="AG336" s="27"/>
      <c r="AH336" s="27"/>
      <c r="AI336" s="27"/>
    </row>
    <row r="337" hidden="1" outlineLevel="3">
      <c r="A337" s="27" t="s">
        <v>231</v>
      </c>
      <c r="B337" s="30" t="s">
        <v>1102</v>
      </c>
      <c r="C337" s="27" t="s">
        <v>1103</v>
      </c>
      <c r="D337" s="27" t="s">
        <v>1104</v>
      </c>
      <c r="E337" s="27"/>
      <c r="F337" s="27"/>
      <c r="G337" s="27" t="s">
        <v>107</v>
      </c>
      <c r="H337" s="27"/>
      <c r="I337" s="27"/>
      <c r="J337" s="27"/>
      <c r="K337" s="27"/>
      <c r="L337" s="27" t="s">
        <v>308</v>
      </c>
      <c r="M337" s="27"/>
      <c r="O337" s="27"/>
      <c r="P337" s="27"/>
      <c r="V337" s="13" t="s">
        <v>310</v>
      </c>
      <c r="W337" s="13" t="s">
        <v>1105</v>
      </c>
      <c r="Y337" s="13" t="s">
        <v>1105</v>
      </c>
      <c r="Z337" s="13" t="s">
        <v>1106</v>
      </c>
      <c r="AA337" s="13" t="b">
        <v>0</v>
      </c>
      <c r="AB337" s="13" t="b">
        <v>0</v>
      </c>
      <c r="AC337" s="13" t="b">
        <v>0</v>
      </c>
      <c r="AE337" s="27"/>
      <c r="AF337" s="27" t="str">
        <f>IFERROR(__xludf.DUMMYFUNCTION("""COMPUTED_VALUE"""),"")</f>
        <v/>
      </c>
      <c r="AG337" s="27"/>
      <c r="AH337" s="27"/>
      <c r="AI337" s="27"/>
    </row>
    <row r="338" hidden="1" outlineLevel="3">
      <c r="A338" s="27" t="s">
        <v>231</v>
      </c>
      <c r="B338" s="30" t="s">
        <v>1107</v>
      </c>
      <c r="C338" s="27" t="s">
        <v>1108</v>
      </c>
      <c r="D338" s="27" t="s">
        <v>1109</v>
      </c>
      <c r="E338" s="27"/>
      <c r="F338" s="27"/>
      <c r="G338" s="27" t="s">
        <v>107</v>
      </c>
      <c r="H338" s="27"/>
      <c r="I338" s="27"/>
      <c r="J338" s="27"/>
      <c r="K338" s="27"/>
      <c r="L338" s="27" t="s">
        <v>308</v>
      </c>
      <c r="M338" s="27"/>
      <c r="O338" s="27"/>
      <c r="P338" s="27"/>
      <c r="V338" s="13" t="s">
        <v>310</v>
      </c>
      <c r="W338" s="13" t="s">
        <v>1110</v>
      </c>
      <c r="Y338" s="13" t="s">
        <v>1110</v>
      </c>
      <c r="Z338" s="13" t="s">
        <v>1111</v>
      </c>
      <c r="AA338" s="13" t="b">
        <v>0</v>
      </c>
      <c r="AB338" s="13" t="b">
        <v>0</v>
      </c>
      <c r="AC338" s="13" t="b">
        <v>0</v>
      </c>
      <c r="AE338" s="27"/>
      <c r="AF338" s="27" t="str">
        <f>IFERROR(__xludf.DUMMYFUNCTION("""COMPUTED_VALUE"""),"")</f>
        <v/>
      </c>
      <c r="AG338" s="27"/>
      <c r="AH338" s="27"/>
      <c r="AI338" s="27"/>
    </row>
    <row r="339" hidden="1" outlineLevel="3">
      <c r="A339" s="27" t="s">
        <v>231</v>
      </c>
      <c r="B339" s="30" t="s">
        <v>1112</v>
      </c>
      <c r="C339" s="27" t="s">
        <v>1113</v>
      </c>
      <c r="D339" s="27" t="s">
        <v>1114</v>
      </c>
      <c r="E339" s="27"/>
      <c r="F339" s="27"/>
      <c r="G339" s="27" t="s">
        <v>107</v>
      </c>
      <c r="H339" s="27"/>
      <c r="I339" s="27"/>
      <c r="J339" s="27"/>
      <c r="K339" s="27"/>
      <c r="L339" s="27" t="s">
        <v>308</v>
      </c>
      <c r="M339" s="27"/>
      <c r="O339" s="27"/>
      <c r="P339" s="27"/>
      <c r="V339" s="13" t="s">
        <v>310</v>
      </c>
      <c r="W339" s="13" t="s">
        <v>1115</v>
      </c>
      <c r="Y339" s="13" t="s">
        <v>1115</v>
      </c>
      <c r="AA339" s="13" t="b">
        <v>0</v>
      </c>
      <c r="AB339" s="13" t="b">
        <v>0</v>
      </c>
      <c r="AC339" s="13" t="b">
        <v>0</v>
      </c>
      <c r="AE339" s="27"/>
      <c r="AF339" s="27" t="str">
        <f>IFERROR(__xludf.DUMMYFUNCTION("""COMPUTED_VALUE"""),"")</f>
        <v/>
      </c>
      <c r="AG339" s="27"/>
      <c r="AH339" s="27"/>
      <c r="AI339" s="27"/>
    </row>
    <row r="340" hidden="1" outlineLevel="3">
      <c r="A340" s="27" t="s">
        <v>231</v>
      </c>
      <c r="B340" s="30" t="s">
        <v>1116</v>
      </c>
      <c r="C340" s="27" t="s">
        <v>1117</v>
      </c>
      <c r="D340" s="27" t="s">
        <v>1118</v>
      </c>
      <c r="E340" s="27"/>
      <c r="F340" s="27"/>
      <c r="G340" s="27" t="s">
        <v>107</v>
      </c>
      <c r="H340" s="27"/>
      <c r="I340" s="27"/>
      <c r="J340" s="27"/>
      <c r="K340" s="27"/>
      <c r="L340" s="27" t="s">
        <v>308</v>
      </c>
      <c r="M340" s="27"/>
      <c r="O340" s="27"/>
      <c r="P340" s="27"/>
      <c r="V340" s="13" t="s">
        <v>310</v>
      </c>
      <c r="W340" s="13" t="s">
        <v>1119</v>
      </c>
      <c r="Y340" s="13" t="s">
        <v>1119</v>
      </c>
      <c r="AA340" s="13" t="b">
        <v>0</v>
      </c>
      <c r="AB340" s="13" t="b">
        <v>0</v>
      </c>
      <c r="AC340" s="13" t="b">
        <v>0</v>
      </c>
      <c r="AE340" s="27"/>
      <c r="AF340" s="27" t="str">
        <f>IFERROR(__xludf.DUMMYFUNCTION("""COMPUTED_VALUE"""),"")</f>
        <v/>
      </c>
      <c r="AG340" s="27"/>
      <c r="AH340" s="27"/>
      <c r="AI340" s="27"/>
    </row>
    <row r="341" hidden="1" outlineLevel="3">
      <c r="A341" s="27" t="s">
        <v>231</v>
      </c>
      <c r="B341" s="30" t="s">
        <v>652</v>
      </c>
      <c r="C341" s="27" t="s">
        <v>1120</v>
      </c>
      <c r="D341" s="27" t="s">
        <v>1121</v>
      </c>
      <c r="E341" s="27"/>
      <c r="F341" s="27"/>
      <c r="G341" s="27" t="s">
        <v>107</v>
      </c>
      <c r="H341" s="27"/>
      <c r="I341" s="27"/>
      <c r="J341" s="27"/>
      <c r="K341" s="27"/>
      <c r="L341" s="27" t="s">
        <v>308</v>
      </c>
      <c r="M341" s="27"/>
      <c r="O341" s="27"/>
      <c r="P341" s="27"/>
      <c r="V341" s="13" t="s">
        <v>310</v>
      </c>
      <c r="W341" s="13" t="s">
        <v>1122</v>
      </c>
      <c r="Y341" s="13" t="s">
        <v>1122</v>
      </c>
      <c r="AA341" s="13" t="b">
        <v>0</v>
      </c>
      <c r="AB341" s="13" t="b">
        <v>0</v>
      </c>
      <c r="AC341" s="13" t="b">
        <v>0</v>
      </c>
      <c r="AE341" s="27"/>
      <c r="AF341" s="27" t="str">
        <f>IFERROR(__xludf.DUMMYFUNCTION("""COMPUTED_VALUE"""),"")</f>
        <v/>
      </c>
      <c r="AG341" s="27"/>
      <c r="AH341" s="27"/>
      <c r="AI341" s="27"/>
    </row>
    <row r="342" hidden="1" outlineLevel="3">
      <c r="A342" s="27" t="s">
        <v>231</v>
      </c>
      <c r="B342" s="30" t="s">
        <v>1123</v>
      </c>
      <c r="C342" s="27" t="s">
        <v>1124</v>
      </c>
      <c r="D342" s="27" t="s">
        <v>1078</v>
      </c>
      <c r="E342" s="27"/>
      <c r="F342" s="27"/>
      <c r="G342" s="27" t="s">
        <v>107</v>
      </c>
      <c r="H342" s="27"/>
      <c r="I342" s="27"/>
      <c r="J342" s="27"/>
      <c r="K342" s="27"/>
      <c r="L342" s="27" t="s">
        <v>308</v>
      </c>
      <c r="M342" s="27"/>
      <c r="O342" s="27"/>
      <c r="P342" s="27"/>
      <c r="V342" s="13" t="s">
        <v>310</v>
      </c>
      <c r="W342" s="13" t="s">
        <v>1125</v>
      </c>
      <c r="Y342" s="13" t="s">
        <v>1125</v>
      </c>
      <c r="Z342" s="13" t="s">
        <v>1126</v>
      </c>
      <c r="AA342" s="13" t="b">
        <v>0</v>
      </c>
      <c r="AB342" s="13" t="b">
        <v>0</v>
      </c>
      <c r="AC342" s="13" t="b">
        <v>0</v>
      </c>
      <c r="AE342" s="27"/>
      <c r="AF342" s="27" t="str">
        <f>IFERROR(__xludf.DUMMYFUNCTION("""COMPUTED_VALUE"""),"")</f>
        <v/>
      </c>
      <c r="AG342" s="27"/>
      <c r="AH342" s="27"/>
      <c r="AI342" s="27"/>
    </row>
    <row r="343" hidden="1" outlineLevel="3">
      <c r="A343" s="27" t="s">
        <v>231</v>
      </c>
      <c r="B343" s="30" t="s">
        <v>1127</v>
      </c>
      <c r="C343" s="27" t="s">
        <v>1128</v>
      </c>
      <c r="D343" s="27" t="s">
        <v>1129</v>
      </c>
      <c r="E343" s="27"/>
      <c r="F343" s="27"/>
      <c r="G343" s="27" t="s">
        <v>107</v>
      </c>
      <c r="H343" s="27"/>
      <c r="I343" s="27"/>
      <c r="J343" s="27"/>
      <c r="K343" s="27"/>
      <c r="L343" s="27" t="s">
        <v>308</v>
      </c>
      <c r="M343" s="27"/>
      <c r="O343" s="27"/>
      <c r="P343" s="27"/>
      <c r="V343" s="13" t="s">
        <v>310</v>
      </c>
      <c r="W343" s="13" t="s">
        <v>1130</v>
      </c>
      <c r="Y343" s="13" t="s">
        <v>1130</v>
      </c>
      <c r="AA343" s="13" t="b">
        <v>0</v>
      </c>
      <c r="AB343" s="13" t="b">
        <v>0</v>
      </c>
      <c r="AC343" s="13" t="b">
        <v>0</v>
      </c>
      <c r="AE343" s="27"/>
      <c r="AF343" s="27" t="str">
        <f>IFERROR(__xludf.DUMMYFUNCTION("""COMPUTED_VALUE"""),"")</f>
        <v/>
      </c>
      <c r="AG343" s="27"/>
      <c r="AH343" s="27"/>
      <c r="AI343" s="27"/>
    </row>
    <row r="344" hidden="1" outlineLevel="3">
      <c r="A344" s="27"/>
      <c r="B344" s="30"/>
      <c r="C344" s="27"/>
      <c r="D344" s="27" t="s">
        <v>45</v>
      </c>
      <c r="E344" s="27"/>
      <c r="F344" s="27"/>
      <c r="G344" s="27"/>
      <c r="H344" s="27"/>
      <c r="I344" s="27"/>
      <c r="J344" s="27"/>
      <c r="K344" s="27"/>
      <c r="L344" s="27"/>
      <c r="M344" s="27"/>
      <c r="O344" s="27"/>
      <c r="P344" s="27"/>
      <c r="AA344" s="13" t="b">
        <v>0</v>
      </c>
      <c r="AB344" s="13" t="b">
        <v>0</v>
      </c>
      <c r="AC344" s="13" t="b">
        <v>0</v>
      </c>
      <c r="AE344" s="27"/>
      <c r="AF344" s="27" t="str">
        <f>IFERROR(__xludf.DUMMYFUNCTION("""COMPUTED_VALUE"""),"")</f>
        <v/>
      </c>
      <c r="AG344" s="27"/>
      <c r="AH344" s="27"/>
      <c r="AI344" s="27"/>
    </row>
    <row r="345" hidden="1" outlineLevel="2">
      <c r="A345" s="27" t="s">
        <v>283</v>
      </c>
      <c r="B345" s="30"/>
      <c r="C345" s="27"/>
      <c r="D345" s="27" t="s">
        <v>45</v>
      </c>
      <c r="E345" s="27"/>
      <c r="F345" s="27"/>
      <c r="G345" s="27"/>
      <c r="H345" s="27"/>
      <c r="I345" s="27"/>
      <c r="J345" s="27"/>
      <c r="K345" s="27"/>
      <c r="L345" s="27"/>
      <c r="M345" s="27"/>
      <c r="N345" s="13"/>
      <c r="O345" s="27"/>
      <c r="P345" s="27"/>
      <c r="Q345" s="13"/>
      <c r="R345" s="13"/>
      <c r="S345" s="13"/>
      <c r="T345" s="13"/>
      <c r="U345" s="13"/>
      <c r="V345" s="13"/>
      <c r="W345" s="13"/>
      <c r="X345" s="13"/>
      <c r="Y345" s="13" t="s">
        <v>45</v>
      </c>
      <c r="Z345" s="13"/>
      <c r="AA345" s="13" t="b">
        <v>0</v>
      </c>
      <c r="AB345" s="13" t="b">
        <v>0</v>
      </c>
      <c r="AC345" s="13" t="b">
        <v>0</v>
      </c>
      <c r="AD345" s="13"/>
      <c r="AE345" s="27"/>
      <c r="AF345" s="27" t="str">
        <f>IFERROR(__xludf.DUMMYFUNCTION("""COMPUTED_VALUE"""),"")</f>
        <v/>
      </c>
      <c r="AG345" s="27"/>
      <c r="AH345" s="27"/>
      <c r="AI345" s="27"/>
    </row>
    <row r="346" hidden="1" outlineLevel="1">
      <c r="A346" s="27" t="s">
        <v>283</v>
      </c>
      <c r="B346" s="30"/>
      <c r="C346" s="27"/>
      <c r="D346" s="27" t="s">
        <v>45</v>
      </c>
      <c r="E346" s="27"/>
      <c r="F346" s="27"/>
      <c r="G346" s="27"/>
      <c r="H346" s="27"/>
      <c r="I346" s="27"/>
      <c r="J346" s="27"/>
      <c r="K346" s="27"/>
      <c r="L346" s="27"/>
      <c r="M346" s="27"/>
      <c r="N346" s="13"/>
      <c r="O346" s="27"/>
      <c r="P346" s="27"/>
      <c r="Q346" s="13"/>
      <c r="R346" s="13"/>
      <c r="S346" s="13"/>
      <c r="T346" s="13"/>
      <c r="U346" s="13"/>
      <c r="V346" s="13"/>
      <c r="W346" s="13"/>
      <c r="X346" s="13"/>
      <c r="Y346" s="13" t="s">
        <v>45</v>
      </c>
      <c r="Z346" s="13"/>
      <c r="AA346" s="13" t="b">
        <v>0</v>
      </c>
      <c r="AB346" s="13" t="b">
        <v>0</v>
      </c>
      <c r="AC346" s="13" t="b">
        <v>0</v>
      </c>
      <c r="AD346" s="13"/>
      <c r="AE346" s="27"/>
      <c r="AF346" s="27" t="str">
        <f>IFERROR(__xludf.DUMMYFUNCTION("""COMPUTED_VALUE"""),"")</f>
        <v/>
      </c>
      <c r="AG346" s="27"/>
      <c r="AH346" s="27"/>
      <c r="AI346" s="27"/>
    </row>
    <row r="347" hidden="1" outlineLevel="1">
      <c r="A347" s="27"/>
      <c r="B347" s="30"/>
      <c r="C347" s="27"/>
      <c r="D347" s="27"/>
      <c r="E347" s="27"/>
      <c r="F347" s="27"/>
      <c r="G347" s="27"/>
      <c r="H347" s="27"/>
      <c r="I347" s="27"/>
      <c r="J347" s="27"/>
      <c r="K347" s="27"/>
      <c r="L347" s="27"/>
      <c r="M347" s="27"/>
      <c r="O347" s="27"/>
      <c r="P347" s="27"/>
      <c r="Y347" s="13" t="s">
        <v>45</v>
      </c>
      <c r="AA347" s="13" t="b">
        <v>0</v>
      </c>
      <c r="AB347" s="13" t="b">
        <v>0</v>
      </c>
      <c r="AC347" s="13" t="b">
        <v>0</v>
      </c>
      <c r="AE347" s="27"/>
      <c r="AF347" s="27" t="str">
        <f>IFERROR(__xludf.DUMMYFUNCTION("""COMPUTED_VALUE"""),"")</f>
        <v/>
      </c>
      <c r="AG347" s="27"/>
      <c r="AH347" s="27"/>
      <c r="AI347" s="27"/>
    </row>
    <row r="348" hidden="1" outlineLevel="1">
      <c r="A348" s="27"/>
      <c r="B348" s="30"/>
      <c r="C348" s="27"/>
      <c r="D348" s="27"/>
      <c r="E348" s="27"/>
      <c r="F348" s="27"/>
      <c r="G348" s="27"/>
      <c r="H348" s="27"/>
      <c r="I348" s="27"/>
      <c r="J348" s="27"/>
      <c r="K348" s="27"/>
      <c r="L348" s="27"/>
      <c r="M348" s="27"/>
      <c r="O348" s="27"/>
      <c r="P348" s="27"/>
      <c r="Y348" s="13" t="s">
        <v>45</v>
      </c>
      <c r="AA348" s="13" t="b">
        <v>0</v>
      </c>
      <c r="AB348" s="13" t="b">
        <v>0</v>
      </c>
      <c r="AC348" s="13" t="b">
        <v>0</v>
      </c>
      <c r="AE348" s="27"/>
      <c r="AF348" s="27" t="str">
        <f>IFERROR(__xludf.DUMMYFUNCTION("""COMPUTED_VALUE"""),"")</f>
        <v/>
      </c>
      <c r="AG348" s="27"/>
      <c r="AH348" s="27"/>
      <c r="AI348" s="27"/>
    </row>
    <row r="349" hidden="1" outlineLevel="1" collapsed="1">
      <c r="A349" s="27" t="s">
        <v>113</v>
      </c>
      <c r="B349" s="30" t="s">
        <v>1131</v>
      </c>
      <c r="C349" s="27"/>
      <c r="D349" s="27" t="s">
        <v>1132</v>
      </c>
      <c r="E349" s="27" t="s">
        <v>116</v>
      </c>
      <c r="F349" s="27"/>
      <c r="G349" s="27"/>
      <c r="H349" s="27"/>
      <c r="I349" s="27"/>
      <c r="J349" s="27"/>
      <c r="K349" s="27"/>
      <c r="L349" s="27"/>
      <c r="M349" s="27"/>
      <c r="N349" s="13"/>
      <c r="O349" s="27"/>
      <c r="P349" s="27"/>
      <c r="Q349" s="13"/>
      <c r="R349" s="13"/>
      <c r="S349" s="13"/>
      <c r="T349" s="13"/>
      <c r="U349" s="13"/>
      <c r="V349" s="13"/>
      <c r="W349" s="13"/>
      <c r="X349" s="13"/>
      <c r="Y349" s="13" t="s">
        <v>45</v>
      </c>
      <c r="Z349" s="13"/>
      <c r="AA349" s="13" t="b">
        <v>0</v>
      </c>
      <c r="AB349" s="13" t="b">
        <v>0</v>
      </c>
      <c r="AC349" s="13" t="b">
        <v>0</v>
      </c>
      <c r="AD349" s="13"/>
      <c r="AE349" s="27"/>
      <c r="AF349" s="27" t="str">
        <f>IFERROR(__xludf.DUMMYFUNCTION("""COMPUTED_VALUE"""),"")</f>
        <v/>
      </c>
      <c r="AG349" s="27"/>
      <c r="AH349" s="27"/>
      <c r="AI349" s="27"/>
    </row>
    <row r="350" hidden="1" outlineLevel="2" collapsed="1">
      <c r="A350" s="27" t="s">
        <v>113</v>
      </c>
      <c r="B350" s="30" t="s">
        <v>1133</v>
      </c>
      <c r="C350" s="27"/>
      <c r="D350" s="27" t="s">
        <v>1134</v>
      </c>
      <c r="E350" s="27"/>
      <c r="F350" s="27"/>
      <c r="G350" s="27"/>
      <c r="H350" s="27"/>
      <c r="I350" s="27"/>
      <c r="J350" s="27"/>
      <c r="K350" s="27"/>
      <c r="L350" s="27"/>
      <c r="M350" s="27"/>
      <c r="N350" s="13"/>
      <c r="O350" s="27"/>
      <c r="P350" s="27"/>
      <c r="Q350" s="13"/>
      <c r="R350" s="13"/>
      <c r="S350" s="13"/>
      <c r="T350" s="13"/>
      <c r="U350" s="13"/>
      <c r="V350" s="13"/>
      <c r="W350" s="13"/>
      <c r="X350" s="13"/>
      <c r="Y350" s="13" t="s">
        <v>45</v>
      </c>
      <c r="Z350" s="13"/>
      <c r="AA350" s="13" t="b">
        <v>0</v>
      </c>
      <c r="AB350" s="13" t="b">
        <v>0</v>
      </c>
      <c r="AC350" s="13" t="b">
        <v>0</v>
      </c>
      <c r="AD350" s="13"/>
      <c r="AE350" s="27"/>
      <c r="AF350" s="27" t="str">
        <f>IFERROR(__xludf.DUMMYFUNCTION("""COMPUTED_VALUE"""),"")</f>
        <v/>
      </c>
      <c r="AG350" s="27"/>
      <c r="AH350" s="27"/>
      <c r="AI350" s="27"/>
    </row>
    <row r="351" hidden="1" outlineLevel="3">
      <c r="A351" s="27" t="s">
        <v>76</v>
      </c>
      <c r="B351" s="30" t="s">
        <v>1135</v>
      </c>
      <c r="C351" s="27" t="s">
        <v>1136</v>
      </c>
      <c r="D351" s="27" t="s">
        <v>1044</v>
      </c>
      <c r="E351" s="27"/>
      <c r="F351" s="27"/>
      <c r="G351" s="27"/>
      <c r="H351" s="27"/>
      <c r="I351" s="27"/>
      <c r="J351" s="27"/>
      <c r="K351" s="27"/>
      <c r="L351" s="27"/>
      <c r="M351" s="27"/>
      <c r="O351" s="27"/>
      <c r="P351" s="27"/>
      <c r="AA351" s="13" t="b">
        <v>0</v>
      </c>
      <c r="AB351" s="13" t="b">
        <v>0</v>
      </c>
      <c r="AC351" s="13" t="b">
        <v>0</v>
      </c>
      <c r="AE351" s="27"/>
      <c r="AF351" s="27" t="str">
        <f>IFERROR(__xludf.DUMMYFUNCTION("""COMPUTED_VALUE"""),"")</f>
        <v/>
      </c>
      <c r="AG351" s="27"/>
      <c r="AH351" s="27"/>
      <c r="AI351" s="27"/>
    </row>
    <row r="352" hidden="1" outlineLevel="3">
      <c r="A352" s="27" t="s">
        <v>1137</v>
      </c>
      <c r="B352" s="30" t="s">
        <v>1138</v>
      </c>
      <c r="C352" s="27" t="s">
        <v>1139</v>
      </c>
      <c r="D352" s="27"/>
      <c r="E352" s="27"/>
      <c r="F352" s="27"/>
      <c r="G352" s="27"/>
      <c r="H352" s="27"/>
      <c r="I352" s="27"/>
      <c r="J352" s="27" t="s">
        <v>1140</v>
      </c>
      <c r="K352" s="27"/>
      <c r="L352" s="27"/>
      <c r="M352" s="27"/>
      <c r="O352" s="27"/>
      <c r="P352" s="27"/>
      <c r="AA352" s="13" t="b">
        <v>0</v>
      </c>
      <c r="AB352" s="13" t="b">
        <v>0</v>
      </c>
      <c r="AC352" s="13" t="b">
        <v>0</v>
      </c>
      <c r="AE352" s="27"/>
      <c r="AF352" s="27" t="str">
        <f>IFERROR(__xludf.DUMMYFUNCTION("""COMPUTED_VALUE"""),"minimal,search,columns-pack,columns,columns-n,no-buttons,image-map,label,list-nolabel,list")</f>
        <v>minimal,search,columns-pack,columns,columns-n,no-buttons,image-map,label,list-nolabel,list</v>
      </c>
      <c r="AG352" s="27"/>
      <c r="AH352" s="27"/>
      <c r="AI352" s="27"/>
    </row>
    <row r="353" hidden="1" outlineLevel="3">
      <c r="A353" s="27" t="s">
        <v>150</v>
      </c>
      <c r="B353" s="30" t="s">
        <v>1141</v>
      </c>
      <c r="C353" s="27" t="s">
        <v>1142</v>
      </c>
      <c r="D353" s="27" t="s">
        <v>1143</v>
      </c>
      <c r="E353" s="27"/>
      <c r="F353" s="27"/>
      <c r="G353" s="27" t="s">
        <v>107</v>
      </c>
      <c r="H353" s="27"/>
      <c r="I353" s="27"/>
      <c r="J353" s="27"/>
      <c r="K353" s="27"/>
      <c r="L353" s="27"/>
      <c r="M353" s="27"/>
      <c r="O353" s="27"/>
      <c r="P353" s="27"/>
      <c r="Z353" s="13" t="s">
        <v>1144</v>
      </c>
      <c r="AA353" s="13" t="b">
        <v>0</v>
      </c>
      <c r="AB353" s="13" t="b">
        <v>0</v>
      </c>
      <c r="AC353" s="13" t="b">
        <v>0</v>
      </c>
      <c r="AE353" s="27"/>
      <c r="AF353" s="27" t="str">
        <f>IFERROR(__xludf.DUMMYFUNCTION("""COMPUTED_VALUE"""),"ex:,thousands-sep,counter")</f>
        <v>ex:,thousands-sep,counter</v>
      </c>
      <c r="AG353" s="27"/>
      <c r="AH353" s="27"/>
      <c r="AI353" s="27"/>
    </row>
    <row r="354" hidden="1" outlineLevel="3">
      <c r="A354" s="27" t="s">
        <v>150</v>
      </c>
      <c r="B354" s="30" t="s">
        <v>1145</v>
      </c>
      <c r="C354" s="27" t="s">
        <v>1146</v>
      </c>
      <c r="D354" s="27" t="s">
        <v>1147</v>
      </c>
      <c r="E354" s="27"/>
      <c r="F354" s="27"/>
      <c r="G354" s="27" t="s">
        <v>107</v>
      </c>
      <c r="H354" s="27"/>
      <c r="I354" s="27"/>
      <c r="J354" s="27"/>
      <c r="K354" s="27"/>
      <c r="L354" s="27"/>
      <c r="M354" s="27"/>
      <c r="O354" s="27"/>
      <c r="P354" s="27"/>
      <c r="Z354" s="13" t="s">
        <v>1148</v>
      </c>
      <c r="AA354" s="13" t="b">
        <v>0</v>
      </c>
      <c r="AB354" s="13" t="b">
        <v>0</v>
      </c>
      <c r="AC354" s="13" t="b">
        <v>0</v>
      </c>
      <c r="AE354" s="27"/>
      <c r="AF354" s="27" t="str">
        <f>IFERROR(__xludf.DUMMYFUNCTION("""COMPUTED_VALUE"""),"ex:,thousands-sep,counter")</f>
        <v>ex:,thousands-sep,counter</v>
      </c>
      <c r="AG354" s="27"/>
      <c r="AH354" s="27"/>
      <c r="AI354" s="27"/>
    </row>
    <row r="355" hidden="1" outlineLevel="3">
      <c r="A355" s="27" t="s">
        <v>150</v>
      </c>
      <c r="B355" s="30" t="s">
        <v>1149</v>
      </c>
      <c r="C355" s="27" t="s">
        <v>1150</v>
      </c>
      <c r="D355" s="27" t="s">
        <v>1151</v>
      </c>
      <c r="E355" s="27"/>
      <c r="F355" s="27"/>
      <c r="G355" s="27" t="s">
        <v>107</v>
      </c>
      <c r="H355" s="27"/>
      <c r="I355" s="27"/>
      <c r="J355" s="27"/>
      <c r="K355" s="27"/>
      <c r="L355" s="27"/>
      <c r="M355" s="27"/>
      <c r="O355" s="27"/>
      <c r="P355" s="27"/>
      <c r="Z355" s="13" t="s">
        <v>1152</v>
      </c>
      <c r="AA355" s="13" t="b">
        <v>0</v>
      </c>
      <c r="AB355" s="13" t="b">
        <v>0</v>
      </c>
      <c r="AC355" s="13" t="b">
        <v>0</v>
      </c>
      <c r="AE355" s="27"/>
      <c r="AF355" s="27" t="str">
        <f>IFERROR(__xludf.DUMMYFUNCTION("""COMPUTED_VALUE"""),"ex:,thousands-sep,counter")</f>
        <v>ex:,thousands-sep,counter</v>
      </c>
      <c r="AG355" s="27"/>
      <c r="AH355" s="27"/>
      <c r="AI355" s="27"/>
    </row>
    <row r="356" hidden="1" outlineLevel="3">
      <c r="A356" s="27" t="s">
        <v>150</v>
      </c>
      <c r="B356" s="30" t="s">
        <v>1153</v>
      </c>
      <c r="C356" s="27" t="s">
        <v>1154</v>
      </c>
      <c r="D356" s="27" t="s">
        <v>1155</v>
      </c>
      <c r="E356" s="27"/>
      <c r="F356" s="27"/>
      <c r="G356" s="27" t="s">
        <v>107</v>
      </c>
      <c r="H356" s="27"/>
      <c r="I356" s="27"/>
      <c r="J356" s="27"/>
      <c r="K356" s="27" t="s">
        <v>1156</v>
      </c>
      <c r="L356" s="27"/>
      <c r="M356" s="27"/>
      <c r="O356" s="27"/>
      <c r="P356" s="27"/>
      <c r="Z356" s="13" t="s">
        <v>1157</v>
      </c>
      <c r="AA356" s="13" t="b">
        <v>0</v>
      </c>
      <c r="AB356" s="13" t="b">
        <v>0</v>
      </c>
      <c r="AC356" s="13" t="b">
        <v>0</v>
      </c>
      <c r="AE356" s="27"/>
      <c r="AF356" s="27" t="str">
        <f>IFERROR(__xludf.DUMMYFUNCTION("""COMPUTED_VALUE"""),"ex:,thousands-sep,counter")</f>
        <v>ex:,thousands-sep,counter</v>
      </c>
      <c r="AG356" s="27"/>
      <c r="AH356" s="27"/>
      <c r="AI356" s="27"/>
    </row>
    <row r="357" hidden="1" outlineLevel="3">
      <c r="A357" s="27" t="s">
        <v>150</v>
      </c>
      <c r="B357" s="30" t="s">
        <v>1158</v>
      </c>
      <c r="C357" s="27" t="s">
        <v>1159</v>
      </c>
      <c r="D357" s="27" t="s">
        <v>275</v>
      </c>
      <c r="E357" s="27"/>
      <c r="F357" s="27" t="s">
        <v>1160</v>
      </c>
      <c r="G357" s="27" t="s">
        <v>107</v>
      </c>
      <c r="H357" s="27"/>
      <c r="I357" s="27"/>
      <c r="J357" s="27"/>
      <c r="K357" s="27"/>
      <c r="L357" s="27"/>
      <c r="M357" s="27"/>
      <c r="O357" s="27"/>
      <c r="P357" s="27" t="s">
        <v>1161</v>
      </c>
      <c r="V357" s="13" t="s">
        <v>1162</v>
      </c>
      <c r="W357" s="13" t="s">
        <v>1163</v>
      </c>
      <c r="Y357" s="13" t="s">
        <v>1163</v>
      </c>
      <c r="AA357" s="13" t="b">
        <v>0</v>
      </c>
      <c r="AB357" s="13" t="b">
        <v>0</v>
      </c>
      <c r="AC357" s="13" t="b">
        <v>0</v>
      </c>
      <c r="AE357" s="27"/>
      <c r="AF357" s="27" t="str">
        <f>IFERROR(__xludf.DUMMYFUNCTION("""COMPUTED_VALUE"""),"ex:,thousands-sep,counter")</f>
        <v>ex:,thousands-sep,counter</v>
      </c>
      <c r="AG357" s="27"/>
      <c r="AH357" s="27"/>
      <c r="AI357" s="27"/>
    </row>
    <row r="358" hidden="1" outlineLevel="3">
      <c r="A358" s="27" t="s">
        <v>150</v>
      </c>
      <c r="B358" s="30" t="s">
        <v>1164</v>
      </c>
      <c r="C358" s="27" t="s">
        <v>1165</v>
      </c>
      <c r="D358" s="27" t="s">
        <v>275</v>
      </c>
      <c r="E358" s="27"/>
      <c r="F358" s="27" t="s">
        <v>1166</v>
      </c>
      <c r="G358" s="27" t="s">
        <v>107</v>
      </c>
      <c r="H358" s="27"/>
      <c r="I358" s="27"/>
      <c r="J358" s="27"/>
      <c r="K358" s="27"/>
      <c r="L358" s="27"/>
      <c r="M358" s="27"/>
      <c r="O358" s="27"/>
      <c r="P358" s="27"/>
      <c r="V358" s="13" t="s">
        <v>1167</v>
      </c>
      <c r="W358" s="13" t="s">
        <v>1168</v>
      </c>
      <c r="Y358" s="13" t="s">
        <v>1168</v>
      </c>
      <c r="Z358" s="13" t="s">
        <v>1169</v>
      </c>
      <c r="AA358" s="13" t="b">
        <v>0</v>
      </c>
      <c r="AB358" s="13" t="b">
        <v>0</v>
      </c>
      <c r="AC358" s="13" t="b">
        <v>0</v>
      </c>
      <c r="AE358" s="27"/>
      <c r="AF358" s="27" t="str">
        <f>IFERROR(__xludf.DUMMYFUNCTION("""COMPUTED_VALUE"""),"ex:,thousands-sep,counter")</f>
        <v>ex:,thousands-sep,counter</v>
      </c>
      <c r="AG358" s="27"/>
      <c r="AH358" s="27"/>
      <c r="AI358" s="27"/>
    </row>
    <row r="359" hidden="1" outlineLevel="3">
      <c r="A359" s="27" t="s">
        <v>76</v>
      </c>
      <c r="B359" s="30" t="s">
        <v>1170</v>
      </c>
      <c r="C359" s="27" t="s">
        <v>1171</v>
      </c>
      <c r="D359" s="27"/>
      <c r="E359" s="27"/>
      <c r="F359" s="27"/>
      <c r="G359" s="27"/>
      <c r="H359" s="27"/>
      <c r="I359" s="27"/>
      <c r="J359" s="27"/>
      <c r="K359" s="27"/>
      <c r="L359" s="27"/>
      <c r="M359" s="27"/>
      <c r="O359" s="27"/>
      <c r="P359" s="27"/>
      <c r="AA359" s="13" t="b">
        <v>0</v>
      </c>
      <c r="AB359" s="13" t="b">
        <v>0</v>
      </c>
      <c r="AC359" s="13" t="b">
        <v>0</v>
      </c>
      <c r="AE359" s="27"/>
      <c r="AF359" s="27" t="str">
        <f>IFERROR(__xludf.DUMMYFUNCTION("""COMPUTED_VALUE"""),"")</f>
        <v/>
      </c>
      <c r="AG359" s="27"/>
      <c r="AH359" s="27"/>
      <c r="AI359" s="27"/>
    </row>
    <row r="360" hidden="1" outlineLevel="3">
      <c r="A360" s="27" t="s">
        <v>76</v>
      </c>
      <c r="B360" s="30" t="s">
        <v>1172</v>
      </c>
      <c r="C360" s="27" t="s">
        <v>1173</v>
      </c>
      <c r="D360" s="27"/>
      <c r="E360" s="27"/>
      <c r="F360" s="27"/>
      <c r="G360" s="27"/>
      <c r="H360" s="27"/>
      <c r="I360" s="27"/>
      <c r="J360" s="27"/>
      <c r="K360" s="27"/>
      <c r="L360" s="27"/>
      <c r="M360" s="27"/>
      <c r="O360" s="27"/>
      <c r="P360" s="27"/>
      <c r="AA360" s="13" t="b">
        <v>0</v>
      </c>
      <c r="AB360" s="13" t="b">
        <v>0</v>
      </c>
      <c r="AC360" s="13" t="b">
        <v>0</v>
      </c>
      <c r="AE360" s="27"/>
      <c r="AF360" s="27" t="str">
        <f>IFERROR(__xludf.DUMMYFUNCTION("""COMPUTED_VALUE"""),"")</f>
        <v/>
      </c>
      <c r="AG360" s="27"/>
      <c r="AH360" s="27"/>
      <c r="AI360" s="27"/>
    </row>
    <row r="361" hidden="1" outlineLevel="2">
      <c r="A361" s="27" t="s">
        <v>283</v>
      </c>
      <c r="B361" s="30"/>
      <c r="C361" s="27"/>
      <c r="D361" s="27"/>
      <c r="E361" s="27"/>
      <c r="F361" s="27"/>
      <c r="G361" s="27"/>
      <c r="H361" s="27"/>
      <c r="I361" s="27"/>
      <c r="J361" s="27"/>
      <c r="K361" s="27"/>
      <c r="L361" s="27"/>
      <c r="M361" s="27"/>
      <c r="N361" s="13"/>
      <c r="O361" s="27"/>
      <c r="P361" s="27"/>
      <c r="Q361" s="13"/>
      <c r="R361" s="13"/>
      <c r="S361" s="13"/>
      <c r="T361" s="13"/>
      <c r="U361" s="13"/>
      <c r="V361" s="13"/>
      <c r="W361" s="13"/>
      <c r="X361" s="13"/>
      <c r="Y361" s="13" t="s">
        <v>45</v>
      </c>
      <c r="Z361" s="13"/>
      <c r="AA361" s="13" t="b">
        <v>0</v>
      </c>
      <c r="AB361" s="13" t="b">
        <v>0</v>
      </c>
      <c r="AC361" s="13" t="b">
        <v>0</v>
      </c>
      <c r="AD361" s="13"/>
      <c r="AE361" s="27"/>
      <c r="AF361" s="27" t="str">
        <f>IFERROR(__xludf.DUMMYFUNCTION("""COMPUTED_VALUE"""),"")</f>
        <v/>
      </c>
      <c r="AG361" s="27"/>
      <c r="AH361" s="27"/>
      <c r="AI361" s="27"/>
    </row>
    <row r="362" hidden="1" outlineLevel="2">
      <c r="A362" s="27"/>
      <c r="B362" s="30"/>
      <c r="C362" s="27"/>
      <c r="D362" s="27"/>
      <c r="E362" s="27"/>
      <c r="F362" s="27"/>
      <c r="G362" s="27"/>
      <c r="H362" s="27"/>
      <c r="I362" s="27"/>
      <c r="J362" s="27"/>
      <c r="K362" s="27"/>
      <c r="L362" s="27"/>
      <c r="M362" s="27"/>
      <c r="O362" s="27"/>
      <c r="P362" s="27"/>
      <c r="Y362" s="13" t="s">
        <v>45</v>
      </c>
      <c r="AA362" s="13" t="b">
        <v>0</v>
      </c>
      <c r="AB362" s="13" t="b">
        <v>0</v>
      </c>
      <c r="AC362" s="13" t="b">
        <v>0</v>
      </c>
      <c r="AE362" s="27"/>
      <c r="AF362" s="27" t="str">
        <f>IFERROR(__xludf.DUMMYFUNCTION("""COMPUTED_VALUE"""),"")</f>
        <v/>
      </c>
      <c r="AG362" s="27"/>
      <c r="AH362" s="27"/>
      <c r="AI362" s="27"/>
    </row>
    <row r="363" hidden="1" outlineLevel="2">
      <c r="A363" s="27" t="s">
        <v>150</v>
      </c>
      <c r="B363" s="30" t="s">
        <v>1174</v>
      </c>
      <c r="C363" s="27" t="s">
        <v>1175</v>
      </c>
      <c r="D363" s="27" t="s">
        <v>1176</v>
      </c>
      <c r="E363" s="27"/>
      <c r="F363" s="27"/>
      <c r="G363" s="27"/>
      <c r="H363" s="27"/>
      <c r="I363" s="27"/>
      <c r="J363" s="27"/>
      <c r="K363" s="27"/>
      <c r="L363" s="27"/>
      <c r="M363" s="27"/>
      <c r="O363" s="27"/>
      <c r="P363" s="27"/>
      <c r="W363" s="13" t="s">
        <v>1177</v>
      </c>
      <c r="Y363" s="13" t="s">
        <v>1177</v>
      </c>
      <c r="AA363" s="13" t="b">
        <v>0</v>
      </c>
      <c r="AB363" s="13" t="b">
        <v>0</v>
      </c>
      <c r="AC363" s="13" t="b">
        <v>0</v>
      </c>
      <c r="AE363" s="27"/>
      <c r="AF363" s="27" t="str">
        <f>IFERROR(__xludf.DUMMYFUNCTION("""COMPUTED_VALUE"""),"ex:,thousands-sep,counter")</f>
        <v>ex:,thousands-sep,counter</v>
      </c>
      <c r="AG363" s="27"/>
      <c r="AH363" s="27"/>
      <c r="AI363" s="27"/>
    </row>
    <row r="364" hidden="1" outlineLevel="2">
      <c r="A364" s="27" t="s">
        <v>150</v>
      </c>
      <c r="B364" s="30" t="s">
        <v>1178</v>
      </c>
      <c r="C364" s="27" t="s">
        <v>1179</v>
      </c>
      <c r="D364" s="27" t="s">
        <v>1180</v>
      </c>
      <c r="E364" s="27"/>
      <c r="F364" s="27"/>
      <c r="G364" s="27"/>
      <c r="H364" s="27"/>
      <c r="I364" s="27"/>
      <c r="J364" s="27"/>
      <c r="K364" s="27"/>
      <c r="L364" s="27"/>
      <c r="M364" s="27"/>
      <c r="O364" s="27"/>
      <c r="P364" s="27"/>
      <c r="W364" s="13" t="s">
        <v>1181</v>
      </c>
      <c r="Y364" s="13" t="s">
        <v>1181</v>
      </c>
      <c r="AA364" s="13" t="b">
        <v>0</v>
      </c>
      <c r="AB364" s="13" t="b">
        <v>0</v>
      </c>
      <c r="AC364" s="13" t="b">
        <v>0</v>
      </c>
      <c r="AE364" s="27"/>
      <c r="AF364" s="27" t="str">
        <f>IFERROR(__xludf.DUMMYFUNCTION("""COMPUTED_VALUE"""),"ex:,thousands-sep,counter")</f>
        <v>ex:,thousands-sep,counter</v>
      </c>
      <c r="AG364" s="27"/>
      <c r="AH364" s="27"/>
      <c r="AI364" s="27"/>
    </row>
    <row r="365" hidden="1" outlineLevel="1">
      <c r="A365" s="27" t="s">
        <v>283</v>
      </c>
      <c r="B365" s="30"/>
      <c r="C365" s="27"/>
      <c r="D365" s="27"/>
      <c r="E365" s="27"/>
      <c r="F365" s="27"/>
      <c r="G365" s="27"/>
      <c r="H365" s="27"/>
      <c r="I365" s="27"/>
      <c r="J365" s="27"/>
      <c r="K365" s="27"/>
      <c r="L365" s="27"/>
      <c r="M365" s="27"/>
      <c r="N365" s="13"/>
      <c r="O365" s="27"/>
      <c r="P365" s="27"/>
      <c r="Q365" s="13"/>
      <c r="R365" s="13"/>
      <c r="S365" s="13"/>
      <c r="T365" s="13"/>
      <c r="U365" s="13"/>
      <c r="V365" s="13"/>
      <c r="W365" s="13"/>
      <c r="X365" s="13"/>
      <c r="Y365" s="13" t="s">
        <v>45</v>
      </c>
      <c r="Z365" s="13"/>
      <c r="AA365" s="13" t="b">
        <v>0</v>
      </c>
      <c r="AB365" s="13" t="b">
        <v>0</v>
      </c>
      <c r="AC365" s="13" t="b">
        <v>0</v>
      </c>
      <c r="AD365" s="13"/>
      <c r="AE365" s="27"/>
      <c r="AF365" s="27" t="str">
        <f>IFERROR(__xludf.DUMMYFUNCTION("""COMPUTED_VALUE"""),"")</f>
        <v/>
      </c>
      <c r="AG365" s="27"/>
      <c r="AH365" s="27"/>
      <c r="AI365" s="27"/>
    </row>
    <row r="366" hidden="1" outlineLevel="1">
      <c r="A366" s="27"/>
      <c r="B366" s="30"/>
      <c r="C366" s="27"/>
      <c r="D366" s="27"/>
      <c r="E366" s="27"/>
      <c r="F366" s="27"/>
      <c r="G366" s="27"/>
      <c r="H366" s="27"/>
      <c r="I366" s="27"/>
      <c r="J366" s="27"/>
      <c r="K366" s="27"/>
      <c r="L366" s="27"/>
      <c r="M366" s="27"/>
      <c r="O366" s="27"/>
      <c r="P366" s="27"/>
      <c r="Y366" s="13" t="s">
        <v>45</v>
      </c>
      <c r="AA366" s="13" t="b">
        <v>0</v>
      </c>
      <c r="AB366" s="13" t="b">
        <v>0</v>
      </c>
      <c r="AC366" s="13" t="b">
        <v>0</v>
      </c>
      <c r="AE366" s="27"/>
      <c r="AF366" s="27" t="str">
        <f>IFERROR(__xludf.DUMMYFUNCTION("""COMPUTED_VALUE"""),"")</f>
        <v/>
      </c>
      <c r="AG366" s="27"/>
      <c r="AH366" s="27"/>
      <c r="AI366" s="27"/>
    </row>
    <row r="367" hidden="1" outlineLevel="1">
      <c r="A367" s="27"/>
      <c r="B367" s="30"/>
      <c r="C367" s="27"/>
      <c r="D367" s="27"/>
      <c r="E367" s="27"/>
      <c r="F367" s="27"/>
      <c r="G367" s="27"/>
      <c r="H367" s="27"/>
      <c r="I367" s="27"/>
      <c r="J367" s="27"/>
      <c r="K367" s="27"/>
      <c r="L367" s="27"/>
      <c r="M367" s="27"/>
      <c r="O367" s="27"/>
      <c r="P367" s="27"/>
      <c r="Y367" s="13" t="s">
        <v>45</v>
      </c>
      <c r="AA367" s="13" t="b">
        <v>0</v>
      </c>
      <c r="AB367" s="13" t="b">
        <v>0</v>
      </c>
      <c r="AC367" s="13" t="b">
        <v>0</v>
      </c>
      <c r="AE367" s="27"/>
      <c r="AF367" s="27" t="str">
        <f>IFERROR(__xludf.DUMMYFUNCTION("""COMPUTED_VALUE"""),"")</f>
        <v/>
      </c>
      <c r="AG367" s="27"/>
      <c r="AH367" s="27"/>
      <c r="AI367" s="27"/>
    </row>
    <row r="368" hidden="1" outlineLevel="1" collapsed="1">
      <c r="A368" s="27" t="s">
        <v>113</v>
      </c>
      <c r="B368" s="30" t="s">
        <v>1182</v>
      </c>
      <c r="C368" s="27"/>
      <c r="D368" s="27" t="s">
        <v>1183</v>
      </c>
      <c r="E368" s="27" t="s">
        <v>116</v>
      </c>
      <c r="F368" s="27"/>
      <c r="G368" s="27"/>
      <c r="H368" s="27"/>
      <c r="I368" s="27"/>
      <c r="J368" s="27"/>
      <c r="K368" s="27"/>
      <c r="L368" s="27"/>
      <c r="M368" s="27"/>
      <c r="N368" s="13"/>
      <c r="O368" s="27"/>
      <c r="P368" s="27"/>
      <c r="Q368" s="13"/>
      <c r="R368" s="13"/>
      <c r="S368" s="13"/>
      <c r="T368" s="13"/>
      <c r="U368" s="13"/>
      <c r="V368" s="13"/>
      <c r="W368" s="13"/>
      <c r="X368" s="13"/>
      <c r="Y368" s="13" t="s">
        <v>45</v>
      </c>
      <c r="Z368" s="13"/>
      <c r="AA368" s="13" t="b">
        <v>0</v>
      </c>
      <c r="AB368" s="13" t="b">
        <v>0</v>
      </c>
      <c r="AC368" s="13" t="b">
        <v>0</v>
      </c>
      <c r="AD368" s="13"/>
      <c r="AE368" s="27"/>
      <c r="AF368" s="27" t="str">
        <f>IFERROR(__xludf.DUMMYFUNCTION("""COMPUTED_VALUE"""),"")</f>
        <v/>
      </c>
      <c r="AG368" s="27"/>
      <c r="AH368" s="27"/>
      <c r="AI368" s="27"/>
    </row>
    <row r="369" hidden="1" outlineLevel="2">
      <c r="A369" s="27" t="s">
        <v>1184</v>
      </c>
      <c r="B369" s="30" t="s">
        <v>1185</v>
      </c>
      <c r="C369" s="27" t="s">
        <v>1186</v>
      </c>
      <c r="D369" s="27"/>
      <c r="E369" s="27"/>
      <c r="F369" s="27"/>
      <c r="G369" s="27" t="s">
        <v>107</v>
      </c>
      <c r="H369" s="27"/>
      <c r="I369" s="27"/>
      <c r="J369" s="27" t="s">
        <v>1187</v>
      </c>
      <c r="K369" s="27"/>
      <c r="L369" s="27"/>
      <c r="M369" s="27"/>
      <c r="O369" s="27"/>
      <c r="P369" s="27"/>
      <c r="W369" s="13" t="s">
        <v>1188</v>
      </c>
      <c r="Y369" s="13" t="s">
        <v>1188</v>
      </c>
      <c r="AA369" s="13" t="b">
        <v>0</v>
      </c>
      <c r="AB369" s="13" t="b">
        <v>0</v>
      </c>
      <c r="AC369" s="13" t="b">
        <v>0</v>
      </c>
      <c r="AE369" s="27"/>
      <c r="AF369" s="27" t="str">
        <f>IFERROR(__xludf.DUMMYFUNCTION("""COMPUTED_VALUE"""),"quick,likert,map,minimal,search,columns-pack,columns,columns-n,no-buttons,image-map,label,list-nolabel,list")</f>
        <v>quick,likert,map,minimal,search,columns-pack,columns,columns-n,no-buttons,image-map,label,list-nolabel,list</v>
      </c>
      <c r="AG369" s="27"/>
      <c r="AH369" s="27"/>
      <c r="AI369" s="27"/>
    </row>
    <row r="370" hidden="1" outlineLevel="2">
      <c r="A370" s="27" t="s">
        <v>202</v>
      </c>
      <c r="B370" s="30" t="s">
        <v>1189</v>
      </c>
      <c r="C370" s="27" t="s">
        <v>1190</v>
      </c>
      <c r="D370" s="27"/>
      <c r="E370" s="27" t="s">
        <v>148</v>
      </c>
      <c r="F370" s="27"/>
      <c r="G370" s="27" t="s">
        <v>107</v>
      </c>
      <c r="H370" s="27"/>
      <c r="I370" s="27"/>
      <c r="J370" s="27" t="s">
        <v>1191</v>
      </c>
      <c r="K370" s="27" t="s">
        <v>1192</v>
      </c>
      <c r="L370" s="27"/>
      <c r="M370" s="27"/>
      <c r="O370" s="27"/>
      <c r="P370" s="27"/>
      <c r="W370" s="13" t="s">
        <v>1193</v>
      </c>
      <c r="Y370" s="13" t="s">
        <v>1193</v>
      </c>
      <c r="AA370" s="13" t="b">
        <v>0</v>
      </c>
      <c r="AB370" s="13" t="b">
        <v>0</v>
      </c>
      <c r="AC370" s="13" t="b">
        <v>0</v>
      </c>
      <c r="AE370" s="27"/>
      <c r="AF370" s="27" t="str">
        <f>IFERROR(__xludf.DUMMYFUNCTION("""COMPUTED_VALUE"""),"quick,likert,map,minimal,search,columns-pack,columns,columns-n,no-buttons,image-map,label,list-nolabel,list")</f>
        <v>quick,likert,map,minimal,search,columns-pack,columns,columns-n,no-buttons,image-map,label,list-nolabel,list</v>
      </c>
      <c r="AG370" s="27"/>
      <c r="AH370" s="27"/>
      <c r="AI370" s="27"/>
    </row>
    <row r="371" hidden="1" outlineLevel="2">
      <c r="A371" s="27" t="s">
        <v>1194</v>
      </c>
      <c r="B371" s="30" t="s">
        <v>1195</v>
      </c>
      <c r="C371" s="27" t="s">
        <v>1196</v>
      </c>
      <c r="D371" s="27"/>
      <c r="E371" s="27" t="s">
        <v>148</v>
      </c>
      <c r="F371" s="27"/>
      <c r="G371" s="27"/>
      <c r="H371" s="27"/>
      <c r="I371" s="27" t="s">
        <v>1197</v>
      </c>
      <c r="J371" s="27" t="s">
        <v>1198</v>
      </c>
      <c r="K371" s="27"/>
      <c r="L371" s="27"/>
      <c r="M371" s="27"/>
      <c r="O371" s="27"/>
      <c r="P371" s="27"/>
      <c r="W371" s="13" t="s">
        <v>1199</v>
      </c>
      <c r="Y371" s="13" t="s">
        <v>1199</v>
      </c>
      <c r="AA371" s="13" t="b">
        <v>0</v>
      </c>
      <c r="AB371" s="13" t="b">
        <v>0</v>
      </c>
      <c r="AC371" s="13" t="b">
        <v>0</v>
      </c>
      <c r="AE371" s="27"/>
      <c r="AF371" s="27" t="str">
        <f>IFERROR(__xludf.DUMMYFUNCTION("""COMPUTED_VALUE"""),"quick,likert,map,minimal,search,columns-pack,columns,columns-n,no-buttons,image-map,label,list-nolabel,list")</f>
        <v>quick,likert,map,minimal,search,columns-pack,columns,columns-n,no-buttons,image-map,label,list-nolabel,list</v>
      </c>
      <c r="AG371" s="27"/>
      <c r="AH371" s="27"/>
      <c r="AI371" s="27"/>
    </row>
    <row r="372" hidden="1" outlineLevel="2">
      <c r="A372" s="27" t="s">
        <v>170</v>
      </c>
      <c r="B372" s="30" t="s">
        <v>1200</v>
      </c>
      <c r="C372" s="27" t="s">
        <v>1201</v>
      </c>
      <c r="D372" s="27" t="s">
        <v>1202</v>
      </c>
      <c r="E372" s="27"/>
      <c r="F372" s="27"/>
      <c r="G372" s="27" t="s">
        <v>107</v>
      </c>
      <c r="H372" s="27"/>
      <c r="I372" s="27"/>
      <c r="J372" s="27"/>
      <c r="K372" s="27"/>
      <c r="L372" s="27"/>
      <c r="M372" s="27"/>
      <c r="O372" s="27"/>
      <c r="P372" s="27"/>
      <c r="W372" s="13" t="s">
        <v>1203</v>
      </c>
      <c r="Y372" s="13" t="s">
        <v>1203</v>
      </c>
      <c r="AA372" s="13" t="b">
        <v>0</v>
      </c>
      <c r="AB372" s="13" t="b">
        <v>0</v>
      </c>
      <c r="AC372" s="13" t="b">
        <v>0</v>
      </c>
      <c r="AE372" s="27"/>
      <c r="AF372" s="27" t="str">
        <f>IFERROR(__xludf.DUMMYFUNCTION("""COMPUTED_VALUE"""),"numbers,multiline,url,ex:,thousands-sep")</f>
        <v>numbers,multiline,url,ex:,thousands-sep</v>
      </c>
      <c r="AG372" s="27"/>
      <c r="AH372" s="27"/>
      <c r="AI372" s="27"/>
    </row>
    <row r="373" hidden="1" outlineLevel="2">
      <c r="A373" s="27" t="s">
        <v>170</v>
      </c>
      <c r="B373" s="30" t="s">
        <v>1204</v>
      </c>
      <c r="C373" s="27" t="s">
        <v>1205</v>
      </c>
      <c r="D373" s="27" t="s">
        <v>1202</v>
      </c>
      <c r="E373" s="27"/>
      <c r="F373" s="27"/>
      <c r="G373" s="27" t="s">
        <v>107</v>
      </c>
      <c r="H373" s="27"/>
      <c r="I373" s="27"/>
      <c r="J373" s="27"/>
      <c r="K373" s="27"/>
      <c r="L373" s="27"/>
      <c r="M373" s="27"/>
      <c r="O373" s="27"/>
      <c r="P373" s="27"/>
      <c r="W373" s="13" t="s">
        <v>1206</v>
      </c>
      <c r="Y373" s="13" t="s">
        <v>1206</v>
      </c>
      <c r="AA373" s="13" t="b">
        <v>0</v>
      </c>
      <c r="AB373" s="13" t="b">
        <v>0</v>
      </c>
      <c r="AC373" s="13" t="b">
        <v>0</v>
      </c>
      <c r="AE373" s="27"/>
      <c r="AF373" s="27" t="str">
        <f>IFERROR(__xludf.DUMMYFUNCTION("""COMPUTED_VALUE"""),"numbers,multiline,url,ex:,thousands-sep")</f>
        <v>numbers,multiline,url,ex:,thousands-sep</v>
      </c>
      <c r="AG373" s="27"/>
      <c r="AH373" s="27"/>
      <c r="AI373" s="27"/>
    </row>
    <row r="374" hidden="1" outlineLevel="2">
      <c r="A374" s="27" t="s">
        <v>170</v>
      </c>
      <c r="B374" s="30" t="s">
        <v>1207</v>
      </c>
      <c r="C374" s="27" t="s">
        <v>1208</v>
      </c>
      <c r="D374" s="27" t="s">
        <v>1202</v>
      </c>
      <c r="E374" s="27"/>
      <c r="F374" s="27"/>
      <c r="G374" s="27"/>
      <c r="H374" s="27"/>
      <c r="I374" s="27"/>
      <c r="J374" s="27"/>
      <c r="K374" s="27"/>
      <c r="L374" s="27"/>
      <c r="M374" s="27"/>
      <c r="O374" s="27"/>
      <c r="P374" s="27"/>
      <c r="W374" s="13" t="s">
        <v>1209</v>
      </c>
      <c r="Y374" s="13" t="s">
        <v>1209</v>
      </c>
      <c r="AA374" s="13" t="b">
        <v>0</v>
      </c>
      <c r="AB374" s="13" t="b">
        <v>0</v>
      </c>
      <c r="AC374" s="13" t="b">
        <v>0</v>
      </c>
      <c r="AE374" s="27"/>
      <c r="AF374" s="27" t="str">
        <f>IFERROR(__xludf.DUMMYFUNCTION("""COMPUTED_VALUE"""),"numbers,multiline,url,ex:,thousands-sep")</f>
        <v>numbers,multiline,url,ex:,thousands-sep</v>
      </c>
      <c r="AG374" s="27"/>
      <c r="AH374" s="27"/>
      <c r="AI374" s="27"/>
    </row>
    <row r="375" hidden="1" outlineLevel="2">
      <c r="A375" s="27" t="s">
        <v>1210</v>
      </c>
      <c r="B375" s="30" t="s">
        <v>1211</v>
      </c>
      <c r="C375" s="27" t="s">
        <v>1212</v>
      </c>
      <c r="D375" s="27"/>
      <c r="E375" s="27" t="s">
        <v>148</v>
      </c>
      <c r="F375" s="27"/>
      <c r="G375" s="27"/>
      <c r="H375" s="27"/>
      <c r="I375" s="27"/>
      <c r="J375" s="27" t="s">
        <v>1213</v>
      </c>
      <c r="K375" s="27"/>
      <c r="L375" s="27"/>
      <c r="M375" s="27"/>
      <c r="O375" s="27"/>
      <c r="P375" s="27"/>
      <c r="W375" s="13" t="s">
        <v>1214</v>
      </c>
      <c r="Y375" s="13" t="s">
        <v>1214</v>
      </c>
      <c r="AA375" s="13" t="b">
        <v>0</v>
      </c>
      <c r="AB375" s="13" t="b">
        <v>0</v>
      </c>
      <c r="AC375" s="13" t="b">
        <v>0</v>
      </c>
      <c r="AE375" s="27"/>
      <c r="AF375" s="27" t="str">
        <f>IFERROR(__xludf.DUMMYFUNCTION("""COMPUTED_VALUE"""),"quick,likert,map,minimal,search,columns-pack,columns,columns-n,no-buttons,image-map,label,list-nolabel,list")</f>
        <v>quick,likert,map,minimal,search,columns-pack,columns,columns-n,no-buttons,image-map,label,list-nolabel,list</v>
      </c>
      <c r="AG375" s="27"/>
      <c r="AH375" s="27"/>
      <c r="AI375" s="27"/>
    </row>
    <row r="376" hidden="1" outlineLevel="2">
      <c r="A376" s="27" t="s">
        <v>170</v>
      </c>
      <c r="B376" s="30" t="s">
        <v>1215</v>
      </c>
      <c r="C376" s="27" t="s">
        <v>1212</v>
      </c>
      <c r="D376" s="27" t="s">
        <v>1216</v>
      </c>
      <c r="E376" s="27"/>
      <c r="F376" s="27"/>
      <c r="G376" s="27"/>
      <c r="H376" s="27"/>
      <c r="I376" s="27"/>
      <c r="J376" s="27"/>
      <c r="K376" s="27"/>
      <c r="L376" s="27"/>
      <c r="M376" s="27"/>
      <c r="O376" s="27"/>
      <c r="P376" s="27"/>
      <c r="W376" s="13" t="s">
        <v>1214</v>
      </c>
      <c r="Y376" s="13" t="s">
        <v>1214</v>
      </c>
      <c r="AA376" s="13" t="b">
        <v>0</v>
      </c>
      <c r="AB376" s="13" t="b">
        <v>0</v>
      </c>
      <c r="AC376" s="13" t="b">
        <v>0</v>
      </c>
      <c r="AE376" s="27"/>
      <c r="AF376" s="27" t="str">
        <f>IFERROR(__xludf.DUMMYFUNCTION("""COMPUTED_VALUE"""),"numbers,multiline,url,ex:,thousands-sep")</f>
        <v>numbers,multiline,url,ex:,thousands-sep</v>
      </c>
      <c r="AG376" s="27"/>
      <c r="AH376" s="27"/>
      <c r="AI376" s="27"/>
    </row>
    <row r="377" hidden="1" outlineLevel="2">
      <c r="A377" s="27" t="s">
        <v>341</v>
      </c>
      <c r="B377" s="30" t="s">
        <v>1217</v>
      </c>
      <c r="C377" s="27" t="s">
        <v>1218</v>
      </c>
      <c r="D377" s="27"/>
      <c r="E377" s="27" t="s">
        <v>809</v>
      </c>
      <c r="F377" s="27"/>
      <c r="G377" s="27"/>
      <c r="H377" s="27" t="s">
        <v>393</v>
      </c>
      <c r="I377" s="27"/>
      <c r="J377" s="40" t="s">
        <v>82</v>
      </c>
      <c r="K377" s="27"/>
      <c r="L377" s="27"/>
      <c r="M377" s="27"/>
      <c r="O377" s="27"/>
      <c r="P377" s="27"/>
      <c r="W377" s="13" t="s">
        <v>1219</v>
      </c>
      <c r="Y377" s="13" t="s">
        <v>1219</v>
      </c>
      <c r="AA377" s="13" t="b">
        <v>0</v>
      </c>
      <c r="AB377" s="13" t="b">
        <v>0</v>
      </c>
      <c r="AC377" s="13" t="b">
        <v>0</v>
      </c>
      <c r="AE377" s="27"/>
      <c r="AF377" s="27" t="str">
        <f>IFERROR(__xludf.DUMMYFUNCTION("""COMPUTED_VALUE"""),"no-calendar,month-year,year,ethiopian,coptic,islamic,bikram-sambat,myanmar,persian")</f>
        <v>no-calendar,month-year,year,ethiopian,coptic,islamic,bikram-sambat,myanmar,persian</v>
      </c>
      <c r="AG377" s="27"/>
      <c r="AH377" s="27"/>
      <c r="AI377" s="27"/>
    </row>
    <row r="378" hidden="1" outlineLevel="2">
      <c r="A378" s="27" t="s">
        <v>341</v>
      </c>
      <c r="B378" s="30" t="s">
        <v>1220</v>
      </c>
      <c r="C378" s="27" t="s">
        <v>1221</v>
      </c>
      <c r="D378" s="27"/>
      <c r="E378" s="27" t="s">
        <v>809</v>
      </c>
      <c r="F378" s="27"/>
      <c r="G378" s="27"/>
      <c r="H378" s="27" t="s">
        <v>393</v>
      </c>
      <c r="I378" s="27"/>
      <c r="J378" s="27"/>
      <c r="K378" s="27"/>
      <c r="L378" s="27"/>
      <c r="M378" s="27"/>
      <c r="O378" s="27"/>
      <c r="P378" s="27"/>
      <c r="W378" s="13" t="s">
        <v>1222</v>
      </c>
      <c r="Y378" s="13" t="s">
        <v>1222</v>
      </c>
      <c r="AA378" s="13" t="b">
        <v>0</v>
      </c>
      <c r="AB378" s="13" t="b">
        <v>0</v>
      </c>
      <c r="AC378" s="13" t="b">
        <v>0</v>
      </c>
      <c r="AE378" s="27"/>
      <c r="AF378" s="27" t="str">
        <f>IFERROR(__xludf.DUMMYFUNCTION("""COMPUTED_VALUE"""),"no-calendar,month-year,year,ethiopian,coptic,islamic,bikram-sambat,myanmar,persian")</f>
        <v>no-calendar,month-year,year,ethiopian,coptic,islamic,bikram-sambat,myanmar,persian</v>
      </c>
      <c r="AG378" s="27"/>
      <c r="AH378" s="27"/>
      <c r="AI378" s="27"/>
    </row>
    <row r="379" hidden="1" outlineLevel="2">
      <c r="A379" s="27" t="s">
        <v>341</v>
      </c>
      <c r="B379" s="30" t="s">
        <v>392</v>
      </c>
      <c r="C379" s="27" t="s">
        <v>1223</v>
      </c>
      <c r="D379" s="27" t="s">
        <v>1224</v>
      </c>
      <c r="E379" s="27" t="s">
        <v>809</v>
      </c>
      <c r="F379" s="27"/>
      <c r="G379" s="27"/>
      <c r="H379" s="27" t="s">
        <v>393</v>
      </c>
      <c r="I379" s="27"/>
      <c r="J379" s="27"/>
      <c r="K379" s="27"/>
      <c r="L379" s="27"/>
      <c r="M379" s="27"/>
      <c r="O379" s="27"/>
      <c r="P379" s="27"/>
      <c r="W379" s="13" t="s">
        <v>1225</v>
      </c>
      <c r="Y379" s="13" t="s">
        <v>1225</v>
      </c>
      <c r="AA379" s="13" t="b">
        <v>0</v>
      </c>
      <c r="AB379" s="13" t="b">
        <v>0</v>
      </c>
      <c r="AC379" s="13" t="b">
        <v>0</v>
      </c>
      <c r="AE379" s="27"/>
      <c r="AF379" s="27" t="str">
        <f>IFERROR(__xludf.DUMMYFUNCTION("""COMPUTED_VALUE"""),"no-calendar,month-year,year,ethiopian,coptic,islamic,bikram-sambat,myanmar,persian")</f>
        <v>no-calendar,month-year,year,ethiopian,coptic,islamic,bikram-sambat,myanmar,persian</v>
      </c>
      <c r="AG379" s="27"/>
      <c r="AH379" s="27"/>
      <c r="AI379" s="27"/>
    </row>
    <row r="380" hidden="1" outlineLevel="2">
      <c r="A380" s="27" t="s">
        <v>150</v>
      </c>
      <c r="B380" s="30" t="s">
        <v>1226</v>
      </c>
      <c r="C380" s="27" t="s">
        <v>1227</v>
      </c>
      <c r="D380" s="27" t="s">
        <v>1228</v>
      </c>
      <c r="E380" s="27"/>
      <c r="F380" s="27"/>
      <c r="G380" s="27"/>
      <c r="H380" s="27" t="s">
        <v>1229</v>
      </c>
      <c r="I380" s="27"/>
      <c r="J380" s="27"/>
      <c r="K380" s="27" t="s">
        <v>1230</v>
      </c>
      <c r="L380" s="27"/>
      <c r="M380" s="27"/>
      <c r="O380" s="27"/>
      <c r="P380" s="27"/>
      <c r="W380" s="13" t="s">
        <v>1231</v>
      </c>
      <c r="Y380" s="13" t="s">
        <v>1231</v>
      </c>
      <c r="AA380" s="13" t="b">
        <v>0</v>
      </c>
      <c r="AB380" s="13" t="b">
        <v>0</v>
      </c>
      <c r="AC380" s="13" t="b">
        <v>0</v>
      </c>
      <c r="AE380" s="27"/>
      <c r="AF380" s="27" t="str">
        <f>IFERROR(__xludf.DUMMYFUNCTION("""COMPUTED_VALUE"""),"ex:,thousands-sep,counter")</f>
        <v>ex:,thousands-sep,counter</v>
      </c>
      <c r="AG380" s="27"/>
      <c r="AH380" s="27"/>
      <c r="AI380" s="27"/>
    </row>
    <row r="381" hidden="1" outlineLevel="1">
      <c r="A381" s="27" t="s">
        <v>283</v>
      </c>
      <c r="B381" s="30"/>
      <c r="C381" s="27"/>
      <c r="D381" s="27"/>
      <c r="E381" s="27"/>
      <c r="F381" s="27"/>
      <c r="G381" s="27"/>
      <c r="H381" s="27"/>
      <c r="I381" s="27"/>
      <c r="J381" s="27"/>
      <c r="K381" s="27"/>
      <c r="L381" s="27"/>
      <c r="M381" s="27"/>
      <c r="N381" s="13"/>
      <c r="O381" s="27"/>
      <c r="P381" s="27"/>
      <c r="Q381" s="13"/>
      <c r="R381" s="13"/>
      <c r="S381" s="13"/>
      <c r="T381" s="13"/>
      <c r="U381" s="13"/>
      <c r="V381" s="13"/>
      <c r="W381" s="13"/>
      <c r="X381" s="13"/>
      <c r="Y381" s="13" t="s">
        <v>45</v>
      </c>
      <c r="Z381" s="13"/>
      <c r="AA381" s="13" t="b">
        <v>0</v>
      </c>
      <c r="AB381" s="13" t="b">
        <v>0</v>
      </c>
      <c r="AC381" s="13" t="b">
        <v>0</v>
      </c>
      <c r="AD381" s="13"/>
      <c r="AE381" s="27"/>
      <c r="AF381" s="27" t="str">
        <f>IFERROR(__xludf.DUMMYFUNCTION("""COMPUTED_VALUE"""),"")</f>
        <v/>
      </c>
      <c r="AG381" s="27"/>
      <c r="AH381" s="27"/>
      <c r="AI381" s="27"/>
    </row>
    <row r="382">
      <c r="A382" s="27" t="s">
        <v>283</v>
      </c>
      <c r="B382" s="30"/>
      <c r="C382" s="27"/>
      <c r="D382" s="27"/>
      <c r="E382" s="27"/>
      <c r="F382" s="27"/>
      <c r="G382" s="27"/>
      <c r="H382" s="27"/>
      <c r="I382" s="27"/>
      <c r="J382" s="27"/>
      <c r="K382" s="27"/>
      <c r="L382" s="27"/>
      <c r="M382" s="27"/>
      <c r="N382" s="13"/>
      <c r="O382" s="27"/>
      <c r="P382" s="27"/>
      <c r="Q382" s="13"/>
      <c r="R382" s="13"/>
      <c r="S382" s="13"/>
      <c r="T382" s="13"/>
      <c r="U382" s="13"/>
      <c r="V382" s="13"/>
      <c r="W382" s="13"/>
      <c r="X382" s="13"/>
      <c r="Y382" s="13" t="s">
        <v>45</v>
      </c>
      <c r="Z382" s="13"/>
      <c r="AA382" s="13" t="b">
        <v>0</v>
      </c>
      <c r="AB382" s="13" t="b">
        <v>0</v>
      </c>
      <c r="AC382" s="13" t="b">
        <v>0</v>
      </c>
      <c r="AD382" s="13"/>
      <c r="AE382" s="27"/>
      <c r="AF382" s="27" t="str">
        <f>IFERROR(__xludf.DUMMYFUNCTION("""COMPUTED_VALUE"""),"")</f>
        <v/>
      </c>
      <c r="AG382" s="27"/>
      <c r="AH382" s="27"/>
      <c r="AI382" s="27"/>
    </row>
    <row r="383">
      <c r="A383" s="27"/>
      <c r="B383" s="30"/>
      <c r="C383" s="27"/>
      <c r="D383" s="27"/>
      <c r="E383" s="27"/>
      <c r="F383" s="27"/>
      <c r="G383" s="27"/>
      <c r="H383" s="27"/>
      <c r="I383" s="27"/>
      <c r="J383" s="27"/>
      <c r="K383" s="27"/>
      <c r="L383" s="27"/>
      <c r="M383" s="27"/>
      <c r="O383" s="27"/>
      <c r="P383" s="27"/>
      <c r="Y383" s="13" t="s">
        <v>45</v>
      </c>
      <c r="AA383" s="13" t="b">
        <v>0</v>
      </c>
      <c r="AB383" s="13" t="b">
        <v>0</v>
      </c>
      <c r="AC383" s="13" t="b">
        <v>0</v>
      </c>
      <c r="AE383" s="27"/>
      <c r="AF383" s="27" t="str">
        <f>IFERROR(__xludf.DUMMYFUNCTION("""COMPUTED_VALUE"""),"")</f>
        <v/>
      </c>
      <c r="AG383" s="27"/>
      <c r="AH383" s="27"/>
      <c r="AI383" s="27"/>
    </row>
    <row r="384">
      <c r="A384" s="27"/>
      <c r="B384" s="30"/>
      <c r="C384" s="27"/>
      <c r="D384" s="27"/>
      <c r="E384" s="27"/>
      <c r="F384" s="27"/>
      <c r="G384" s="27"/>
      <c r="H384" s="27"/>
      <c r="I384" s="27"/>
      <c r="J384" s="27"/>
      <c r="K384" s="27"/>
      <c r="L384" s="27"/>
      <c r="M384" s="27"/>
      <c r="O384" s="27"/>
      <c r="P384" s="27"/>
      <c r="Y384" s="13" t="s">
        <v>45</v>
      </c>
      <c r="AA384" s="13" t="b">
        <v>0</v>
      </c>
      <c r="AB384" s="13" t="b">
        <v>0</v>
      </c>
      <c r="AC384" s="13" t="b">
        <v>0</v>
      </c>
      <c r="AE384" s="27"/>
      <c r="AF384" s="27" t="str">
        <f>IFERROR(__xludf.DUMMYFUNCTION("""COMPUTED_VALUE"""),"")</f>
        <v/>
      </c>
      <c r="AG384" s="27"/>
      <c r="AH384" s="27"/>
      <c r="AI384" s="27"/>
    </row>
    <row r="385" collapsed="1">
      <c r="A385" s="27" t="s">
        <v>113</v>
      </c>
      <c r="B385" s="30" t="s">
        <v>1232</v>
      </c>
      <c r="C385" s="27"/>
      <c r="D385" s="27" t="s">
        <v>1233</v>
      </c>
      <c r="E385" s="27"/>
      <c r="F385" s="27"/>
      <c r="G385" s="27"/>
      <c r="H385" s="27"/>
      <c r="I385" s="27"/>
      <c r="J385" s="27"/>
      <c r="K385" s="27"/>
      <c r="L385" s="27"/>
      <c r="M385" s="27"/>
      <c r="N385" s="13"/>
      <c r="O385" s="27"/>
      <c r="P385" s="27"/>
      <c r="Q385" s="13"/>
      <c r="R385" s="13"/>
      <c r="S385" s="13"/>
      <c r="T385" s="13"/>
      <c r="U385" s="13"/>
      <c r="V385" s="13"/>
      <c r="W385" s="13"/>
      <c r="X385" s="13"/>
      <c r="Y385" s="13" t="s">
        <v>45</v>
      </c>
      <c r="Z385" s="13"/>
      <c r="AA385" s="13" t="b">
        <v>0</v>
      </c>
      <c r="AB385" s="13" t="b">
        <v>0</v>
      </c>
      <c r="AC385" s="13" t="b">
        <v>0</v>
      </c>
      <c r="AD385" s="13"/>
      <c r="AE385" s="27"/>
      <c r="AF385" s="27" t="str">
        <f>IFERROR(__xludf.DUMMYFUNCTION("""COMPUTED_VALUE"""),"")</f>
        <v/>
      </c>
      <c r="AG385" s="27"/>
      <c r="AH385" s="27"/>
      <c r="AI385" s="27"/>
    </row>
    <row r="386" hidden="1" outlineLevel="1">
      <c r="A386" s="27" t="s">
        <v>341</v>
      </c>
      <c r="B386" s="30" t="s">
        <v>1234</v>
      </c>
      <c r="C386" s="27" t="s">
        <v>1235</v>
      </c>
      <c r="D386" s="27"/>
      <c r="E386" s="27"/>
      <c r="F386" s="27"/>
      <c r="G386" s="27" t="s">
        <v>107</v>
      </c>
      <c r="H386" s="27" t="s">
        <v>393</v>
      </c>
      <c r="I386" s="27"/>
      <c r="J386" s="27" t="s">
        <v>82</v>
      </c>
      <c r="K386" s="27"/>
      <c r="L386" s="27"/>
      <c r="M386" s="27"/>
      <c r="O386" s="27"/>
      <c r="P386" s="27"/>
      <c r="U386" s="13" t="s">
        <v>394</v>
      </c>
      <c r="V386" s="13" t="s">
        <v>1236</v>
      </c>
      <c r="W386" s="13" t="s">
        <v>1237</v>
      </c>
      <c r="Y386" s="13" t="s">
        <v>1238</v>
      </c>
      <c r="Z386" s="13" t="s">
        <v>1239</v>
      </c>
      <c r="AA386" s="13" t="b">
        <v>0</v>
      </c>
      <c r="AB386" s="13" t="b">
        <v>0</v>
      </c>
      <c r="AC386" s="13" t="b">
        <v>0</v>
      </c>
      <c r="AE386" s="27"/>
      <c r="AF386" s="27" t="str">
        <f>IFERROR(__xludf.DUMMYFUNCTION("""COMPUTED_VALUE"""),"no-calendar,month-year,year,ethiopian,coptic,islamic,bikram-sambat,myanmar,persian")</f>
        <v>no-calendar,month-year,year,ethiopian,coptic,islamic,bikram-sambat,myanmar,persian</v>
      </c>
      <c r="AG386" s="27"/>
      <c r="AH386" s="27"/>
      <c r="AI386" s="27"/>
    </row>
    <row r="387" hidden="1" outlineLevel="1">
      <c r="A387" s="27" t="s">
        <v>1240</v>
      </c>
      <c r="B387" s="30" t="s">
        <v>1241</v>
      </c>
      <c r="C387" s="27" t="s">
        <v>1242</v>
      </c>
      <c r="D387" s="27" t="s">
        <v>937</v>
      </c>
      <c r="E387" s="27" t="s">
        <v>106</v>
      </c>
      <c r="F387" s="27"/>
      <c r="G387" s="27" t="s">
        <v>107</v>
      </c>
      <c r="H387" s="27"/>
      <c r="I387" s="27"/>
      <c r="J387" s="27"/>
      <c r="K387" s="27"/>
      <c r="L387" s="27"/>
      <c r="M387" s="27"/>
      <c r="O387" s="27"/>
      <c r="P387" s="27"/>
      <c r="V387" s="13" t="s">
        <v>1243</v>
      </c>
      <c r="W387" s="13" t="s">
        <v>1244</v>
      </c>
      <c r="Y387" s="13" t="s">
        <v>1245</v>
      </c>
      <c r="Z387" s="13" t="s">
        <v>1246</v>
      </c>
      <c r="AA387" s="13" t="b">
        <v>0</v>
      </c>
      <c r="AB387" s="13" t="b">
        <v>0</v>
      </c>
      <c r="AC387" s="13" t="b">
        <v>0</v>
      </c>
      <c r="AE387" s="27"/>
      <c r="AF387" s="27" t="str">
        <f>IFERROR(__xludf.DUMMYFUNCTION("""COMPUTED_VALUE"""),"quick,likert,map,minimal,search,columns-pack,columns,columns-n,no-buttons,image-map,label,list-nolabel,list")</f>
        <v>quick,likert,map,minimal,search,columns-pack,columns,columns-n,no-buttons,image-map,label,list-nolabel,list</v>
      </c>
      <c r="AG387" s="27"/>
      <c r="AH387" s="27"/>
      <c r="AI387" s="27"/>
    </row>
    <row r="388" hidden="1" outlineLevel="1" collapsed="1">
      <c r="A388" s="27" t="s">
        <v>113</v>
      </c>
      <c r="B388" s="30" t="s">
        <v>1247</v>
      </c>
      <c r="C388" s="27"/>
      <c r="D388" s="27" t="s">
        <v>235</v>
      </c>
      <c r="E388" s="27" t="s">
        <v>116</v>
      </c>
      <c r="F388" s="27"/>
      <c r="G388" s="27"/>
      <c r="H388" s="27"/>
      <c r="I388" s="27"/>
      <c r="J388" s="27"/>
      <c r="K388" s="27"/>
      <c r="L388" s="27"/>
      <c r="M388" s="27"/>
      <c r="N388" s="13"/>
      <c r="O388" s="27"/>
      <c r="P388" s="27"/>
      <c r="Q388" s="13"/>
      <c r="R388" s="13"/>
      <c r="S388" s="13"/>
      <c r="T388" s="13"/>
      <c r="U388" s="13"/>
      <c r="V388" s="13"/>
      <c r="W388" s="13"/>
      <c r="X388" s="13"/>
      <c r="Y388" s="13" t="s">
        <v>45</v>
      </c>
      <c r="Z388" s="13"/>
      <c r="AA388" s="13" t="b">
        <v>0</v>
      </c>
      <c r="AB388" s="13" t="b">
        <v>0</v>
      </c>
      <c r="AC388" s="13" t="b">
        <v>0</v>
      </c>
      <c r="AD388" s="13"/>
      <c r="AE388" s="27"/>
      <c r="AF388" s="27" t="str">
        <f>IFERROR(__xludf.DUMMYFUNCTION("""COMPUTED_VALUE"""),"")</f>
        <v/>
      </c>
      <c r="AG388" s="27"/>
      <c r="AH388" s="27"/>
      <c r="AI388" s="27"/>
    </row>
    <row r="389" hidden="1" outlineLevel="2">
      <c r="A389" s="27" t="s">
        <v>231</v>
      </c>
      <c r="B389" s="30" t="s">
        <v>1248</v>
      </c>
      <c r="C389" s="27" t="s">
        <v>1249</v>
      </c>
      <c r="D389" s="27"/>
      <c r="E389" s="27"/>
      <c r="F389" s="27"/>
      <c r="G389" s="27" t="s">
        <v>107</v>
      </c>
      <c r="H389" s="27"/>
      <c r="I389" s="27"/>
      <c r="J389" s="27"/>
      <c r="K389" s="27"/>
      <c r="L389" s="27" t="s">
        <v>308</v>
      </c>
      <c r="M389" s="27"/>
      <c r="O389" s="27"/>
      <c r="P389" s="27"/>
      <c r="U389" s="13" t="s">
        <v>1250</v>
      </c>
      <c r="V389" s="13" t="s">
        <v>310</v>
      </c>
      <c r="W389" s="13" t="s">
        <v>1251</v>
      </c>
      <c r="Y389" s="13" t="s">
        <v>1252</v>
      </c>
      <c r="Z389" s="13" t="s">
        <v>1253</v>
      </c>
      <c r="AA389" s="13" t="b">
        <v>0</v>
      </c>
      <c r="AB389" s="13" t="b">
        <v>0</v>
      </c>
      <c r="AC389" s="13" t="b">
        <v>0</v>
      </c>
      <c r="AE389" s="27"/>
      <c r="AF389" s="27" t="str">
        <f>IFERROR(__xludf.DUMMYFUNCTION("""COMPUTED_VALUE"""),"")</f>
        <v/>
      </c>
      <c r="AG389" s="27"/>
      <c r="AH389" s="27"/>
      <c r="AI389" s="27"/>
    </row>
    <row r="390" hidden="1" outlineLevel="2">
      <c r="A390" s="27" t="s">
        <v>150</v>
      </c>
      <c r="B390" s="30" t="s">
        <v>1254</v>
      </c>
      <c r="C390" s="27" t="s">
        <v>1255</v>
      </c>
      <c r="D390" s="27"/>
      <c r="E390" s="27"/>
      <c r="F390" s="27"/>
      <c r="G390" s="27"/>
      <c r="H390" s="27"/>
      <c r="I390" s="27"/>
      <c r="J390" s="27"/>
      <c r="K390" s="27" t="s">
        <v>1256</v>
      </c>
      <c r="L390" s="27"/>
      <c r="M390" s="27"/>
      <c r="O390" s="27"/>
      <c r="P390" s="27"/>
      <c r="U390" s="13" t="s">
        <v>1257</v>
      </c>
      <c r="V390" s="13" t="s">
        <v>1258</v>
      </c>
      <c r="W390" s="13" t="s">
        <v>1259</v>
      </c>
      <c r="Y390" s="13" t="s">
        <v>1260</v>
      </c>
      <c r="Z390" s="13" t="s">
        <v>1261</v>
      </c>
      <c r="AA390" s="13" t="b">
        <v>0</v>
      </c>
      <c r="AB390" s="13" t="b">
        <v>0</v>
      </c>
      <c r="AC390" s="13" t="b">
        <v>0</v>
      </c>
      <c r="AE390" s="27"/>
      <c r="AF390" s="27" t="str">
        <f>IFERROR(__xludf.DUMMYFUNCTION("""COMPUTED_VALUE"""),"ex:,thousands-sep,counter")</f>
        <v>ex:,thousands-sep,counter</v>
      </c>
      <c r="AG390" s="27"/>
      <c r="AH390" s="27"/>
      <c r="AI390" s="27"/>
    </row>
    <row r="391" hidden="1" outlineLevel="2">
      <c r="A391" s="27" t="s">
        <v>770</v>
      </c>
      <c r="B391" s="30" t="s">
        <v>1262</v>
      </c>
      <c r="C391" s="27" t="s">
        <v>1263</v>
      </c>
      <c r="D391" s="27"/>
      <c r="E391" s="27"/>
      <c r="F391" s="27"/>
      <c r="G391" s="27"/>
      <c r="H391" s="27"/>
      <c r="I391" s="27"/>
      <c r="J391" s="27"/>
      <c r="K391" s="27"/>
      <c r="L391" s="27"/>
      <c r="M391" s="27"/>
      <c r="O391" s="27"/>
      <c r="P391" s="27"/>
      <c r="U391" s="13" t="s">
        <v>1264</v>
      </c>
      <c r="V391" s="13" t="s">
        <v>1265</v>
      </c>
      <c r="W391" s="13" t="s">
        <v>1266</v>
      </c>
      <c r="Y391" s="13" t="s">
        <v>1267</v>
      </c>
      <c r="Z391" s="13" t="s">
        <v>1268</v>
      </c>
      <c r="AA391" s="13" t="b">
        <v>0</v>
      </c>
      <c r="AB391" s="13" t="b">
        <v>0</v>
      </c>
      <c r="AC391" s="13" t="b">
        <v>0</v>
      </c>
      <c r="AE391" s="27"/>
      <c r="AF391" s="27" t="str">
        <f>IFERROR(__xludf.DUMMYFUNCTION("""COMPUTED_VALUE"""),"ex:,thousands-sep,bearing")</f>
        <v>ex:,thousands-sep,bearing</v>
      </c>
      <c r="AG391" s="27"/>
      <c r="AH391" s="27"/>
      <c r="AI391" s="27"/>
    </row>
    <row r="392" hidden="1" outlineLevel="2">
      <c r="A392" s="27" t="s">
        <v>150</v>
      </c>
      <c r="B392" s="30" t="s">
        <v>1269</v>
      </c>
      <c r="C392" s="27" t="s">
        <v>1270</v>
      </c>
      <c r="D392" s="27"/>
      <c r="E392" s="27"/>
      <c r="F392" s="27"/>
      <c r="G392" s="27"/>
      <c r="H392" s="27"/>
      <c r="I392" s="27"/>
      <c r="J392" s="27"/>
      <c r="K392" s="27"/>
      <c r="L392" s="27"/>
      <c r="M392" s="27"/>
      <c r="O392" s="27"/>
      <c r="P392" s="27"/>
      <c r="U392" s="13" t="s">
        <v>1271</v>
      </c>
      <c r="V392" s="13" t="s">
        <v>1272</v>
      </c>
      <c r="W392" s="13" t="s">
        <v>1273</v>
      </c>
      <c r="Y392" s="13" t="s">
        <v>1274</v>
      </c>
      <c r="Z392" s="13" t="s">
        <v>1275</v>
      </c>
      <c r="AA392" s="13" t="b">
        <v>0</v>
      </c>
      <c r="AB392" s="13" t="b">
        <v>0</v>
      </c>
      <c r="AC392" s="13" t="b">
        <v>0</v>
      </c>
      <c r="AE392" s="27"/>
      <c r="AF392" s="27" t="str">
        <f>IFERROR(__xludf.DUMMYFUNCTION("""COMPUTED_VALUE"""),"ex:,thousands-sep,counter")</f>
        <v>ex:,thousands-sep,counter</v>
      </c>
      <c r="AG392" s="27"/>
      <c r="AH392" s="27"/>
      <c r="AI392" s="27"/>
    </row>
    <row r="393" hidden="1" outlineLevel="2">
      <c r="A393" s="27" t="s">
        <v>80</v>
      </c>
      <c r="B393" s="30" t="s">
        <v>1276</v>
      </c>
      <c r="C393" s="27"/>
      <c r="D393" s="27"/>
      <c r="E393" s="27"/>
      <c r="F393" s="27" t="s">
        <v>1277</v>
      </c>
      <c r="G393" s="27"/>
      <c r="H393" s="27"/>
      <c r="I393" s="27"/>
      <c r="J393" s="27"/>
      <c r="K393" s="27"/>
      <c r="L393" s="27"/>
      <c r="M393" s="27"/>
      <c r="O393" s="27"/>
      <c r="P393" s="27"/>
      <c r="Y393" s="13" t="s">
        <v>45</v>
      </c>
      <c r="AA393" s="13" t="b">
        <v>0</v>
      </c>
      <c r="AB393" s="13" t="b">
        <v>0</v>
      </c>
      <c r="AC393" s="13" t="b">
        <v>0</v>
      </c>
      <c r="AE393" s="27"/>
      <c r="AF393" s="27" t="str">
        <f>IFERROR(__xludf.DUMMYFUNCTION("""COMPUTED_VALUE"""),"")</f>
        <v/>
      </c>
      <c r="AG393" s="27"/>
      <c r="AH393" s="27"/>
      <c r="AI393" s="27"/>
    </row>
    <row r="394" hidden="1" outlineLevel="2">
      <c r="A394" s="27" t="s">
        <v>80</v>
      </c>
      <c r="B394" s="30" t="s">
        <v>1278</v>
      </c>
      <c r="C394" s="27"/>
      <c r="D394" s="27"/>
      <c r="E394" s="27"/>
      <c r="F394" s="27" t="s">
        <v>1279</v>
      </c>
      <c r="G394" s="27"/>
      <c r="H394" s="27"/>
      <c r="I394" s="27"/>
      <c r="J394" s="27"/>
      <c r="K394" s="27"/>
      <c r="L394" s="27"/>
      <c r="M394" s="27"/>
      <c r="O394" s="27"/>
      <c r="P394" s="27"/>
      <c r="Y394" s="13" t="s">
        <v>45</v>
      </c>
      <c r="AA394" s="13" t="b">
        <v>0</v>
      </c>
      <c r="AB394" s="13" t="b">
        <v>0</v>
      </c>
      <c r="AC394" s="13" t="b">
        <v>0</v>
      </c>
      <c r="AE394" s="27"/>
      <c r="AF394" s="27" t="str">
        <f>IFERROR(__xludf.DUMMYFUNCTION("""COMPUTED_VALUE"""),"")</f>
        <v/>
      </c>
      <c r="AG394" s="27"/>
      <c r="AH394" s="27"/>
      <c r="AI394" s="27"/>
    </row>
    <row r="395" hidden="1" outlineLevel="2">
      <c r="A395" s="27" t="s">
        <v>80</v>
      </c>
      <c r="B395" s="30" t="s">
        <v>1280</v>
      </c>
      <c r="C395" s="27"/>
      <c r="D395" s="27"/>
      <c r="E395" s="27"/>
      <c r="F395" s="27" t="s">
        <v>1281</v>
      </c>
      <c r="G395" s="27"/>
      <c r="H395" s="27"/>
      <c r="I395" s="27"/>
      <c r="J395" s="27"/>
      <c r="K395" s="27"/>
      <c r="L395" s="27"/>
      <c r="M395" s="27"/>
      <c r="O395" s="27"/>
      <c r="P395" s="27"/>
      <c r="Y395" s="13" t="s">
        <v>45</v>
      </c>
      <c r="AA395" s="13" t="b">
        <v>0</v>
      </c>
      <c r="AB395" s="13" t="b">
        <v>0</v>
      </c>
      <c r="AC395" s="13" t="b">
        <v>0</v>
      </c>
      <c r="AE395" s="27"/>
      <c r="AF395" s="27" t="str">
        <f>IFERROR(__xludf.DUMMYFUNCTION("""COMPUTED_VALUE"""),"")</f>
        <v/>
      </c>
      <c r="AG395" s="27"/>
      <c r="AH395" s="27"/>
      <c r="AI395" s="27"/>
    </row>
    <row r="396" hidden="1" outlineLevel="2">
      <c r="A396" s="27" t="s">
        <v>80</v>
      </c>
      <c r="B396" s="30" t="s">
        <v>1282</v>
      </c>
      <c r="C396" s="27"/>
      <c r="D396" s="27"/>
      <c r="E396" s="27"/>
      <c r="F396" s="27" t="s">
        <v>1283</v>
      </c>
      <c r="G396" s="27"/>
      <c r="H396" s="27"/>
      <c r="I396" s="27"/>
      <c r="J396" s="27"/>
      <c r="K396" s="27"/>
      <c r="L396" s="27"/>
      <c r="M396" s="27"/>
      <c r="O396" s="27"/>
      <c r="P396" s="27"/>
      <c r="Y396" s="13" t="s">
        <v>45</v>
      </c>
      <c r="AA396" s="13" t="b">
        <v>0</v>
      </c>
      <c r="AB396" s="13" t="b">
        <v>0</v>
      </c>
      <c r="AC396" s="13" t="b">
        <v>0</v>
      </c>
      <c r="AE396" s="27"/>
      <c r="AF396" s="27" t="str">
        <f>IFERROR(__xludf.DUMMYFUNCTION("""COMPUTED_VALUE"""),"")</f>
        <v/>
      </c>
      <c r="AG396" s="27"/>
      <c r="AH396" s="27"/>
      <c r="AI396" s="27"/>
    </row>
    <row r="397" hidden="1" outlineLevel="2">
      <c r="A397" s="27" t="s">
        <v>76</v>
      </c>
      <c r="B397" s="30" t="s">
        <v>1284</v>
      </c>
      <c r="C397" s="27" t="s">
        <v>1285</v>
      </c>
      <c r="D397" s="27"/>
      <c r="E397" s="27"/>
      <c r="F397" s="27"/>
      <c r="G397" s="27"/>
      <c r="H397" s="27"/>
      <c r="I397" s="27"/>
      <c r="J397" s="27"/>
      <c r="K397" s="27"/>
      <c r="L397" s="27"/>
      <c r="M397" s="27"/>
      <c r="O397" s="27"/>
      <c r="P397" s="27"/>
      <c r="W397" s="13" t="s">
        <v>1286</v>
      </c>
      <c r="Y397" s="13" t="s">
        <v>1286</v>
      </c>
      <c r="AA397" s="13" t="b">
        <v>0</v>
      </c>
      <c r="AB397" s="13" t="b">
        <v>0</v>
      </c>
      <c r="AC397" s="13" t="b">
        <v>0</v>
      </c>
      <c r="AE397" s="27"/>
      <c r="AF397" s="27" t="str">
        <f>IFERROR(__xludf.DUMMYFUNCTION("""COMPUTED_VALUE"""),"")</f>
        <v/>
      </c>
      <c r="AG397" s="27"/>
      <c r="AH397" s="27"/>
      <c r="AI397" s="27"/>
    </row>
    <row r="398" hidden="1" outlineLevel="2">
      <c r="A398" s="27" t="s">
        <v>1287</v>
      </c>
      <c r="B398" s="30" t="s">
        <v>1288</v>
      </c>
      <c r="C398" s="27" t="s">
        <v>1289</v>
      </c>
      <c r="D398" s="27"/>
      <c r="E398" s="27"/>
      <c r="F398" s="27"/>
      <c r="G398" s="27"/>
      <c r="H398" s="27"/>
      <c r="I398" s="27"/>
      <c r="J398" s="27"/>
      <c r="K398" s="27"/>
      <c r="L398" s="27"/>
      <c r="M398" s="27"/>
      <c r="O398" s="27"/>
      <c r="P398" s="27"/>
      <c r="V398" s="13" t="s">
        <v>1290</v>
      </c>
      <c r="W398" s="13" t="s">
        <v>1291</v>
      </c>
      <c r="Y398" s="13" t="s">
        <v>1291</v>
      </c>
      <c r="Z398" s="13" t="s">
        <v>1292</v>
      </c>
      <c r="AA398" s="13" t="b">
        <v>0</v>
      </c>
      <c r="AB398" s="13" t="b">
        <v>0</v>
      </c>
      <c r="AC398" s="13" t="b">
        <v>0</v>
      </c>
      <c r="AE398" s="27"/>
      <c r="AF398" s="27" t="str">
        <f>IFERROR(__xludf.DUMMYFUNCTION("""COMPUTED_VALUE"""),"quick,likert,map,minimal,search,columns-pack,columns,columns-n,no-buttons,image-map,label,list-nolabel,list")</f>
        <v>quick,likert,map,minimal,search,columns-pack,columns,columns-n,no-buttons,image-map,label,list-nolabel,list</v>
      </c>
      <c r="AG398" s="27"/>
      <c r="AH398" s="27"/>
      <c r="AI398" s="27"/>
    </row>
    <row r="399" hidden="1" outlineLevel="1">
      <c r="A399" s="27" t="s">
        <v>283</v>
      </c>
      <c r="B399" s="30"/>
      <c r="C399" s="27"/>
      <c r="D399" s="27"/>
      <c r="E399" s="27"/>
      <c r="F399" s="27"/>
      <c r="G399" s="27"/>
      <c r="H399" s="27"/>
      <c r="I399" s="27"/>
      <c r="J399" s="27"/>
      <c r="K399" s="27"/>
      <c r="L399" s="27"/>
      <c r="M399" s="27"/>
      <c r="N399" s="13"/>
      <c r="O399" s="27"/>
      <c r="P399" s="27"/>
      <c r="Q399" s="13"/>
      <c r="R399" s="13"/>
      <c r="S399" s="13"/>
      <c r="T399" s="13"/>
      <c r="U399" s="13"/>
      <c r="V399" s="13"/>
      <c r="W399" s="13"/>
      <c r="X399" s="13"/>
      <c r="Y399" s="13" t="s">
        <v>45</v>
      </c>
      <c r="Z399" s="13"/>
      <c r="AA399" s="13" t="b">
        <v>0</v>
      </c>
      <c r="AB399" s="13" t="b">
        <v>0</v>
      </c>
      <c r="AC399" s="13" t="b">
        <v>0</v>
      </c>
      <c r="AD399" s="13"/>
      <c r="AE399" s="27"/>
      <c r="AF399" s="27" t="str">
        <f>IFERROR(__xludf.DUMMYFUNCTION("""COMPUTED_VALUE"""),"")</f>
        <v/>
      </c>
      <c r="AG399" s="27"/>
      <c r="AH399" s="27"/>
      <c r="AI399" s="27"/>
    </row>
    <row r="400" hidden="1" outlineLevel="1" collapsed="1">
      <c r="A400" s="27" t="s">
        <v>113</v>
      </c>
      <c r="B400" s="30" t="s">
        <v>1293</v>
      </c>
      <c r="C400" s="27"/>
      <c r="D400" s="27" t="s">
        <v>1294</v>
      </c>
      <c r="E400" s="27"/>
      <c r="F400" s="27"/>
      <c r="G400" s="27"/>
      <c r="H400" s="27"/>
      <c r="I400" s="27"/>
      <c r="J400" s="27"/>
      <c r="K400" s="27"/>
      <c r="L400" s="27"/>
      <c r="M400" s="27"/>
      <c r="N400" s="13"/>
      <c r="O400" s="27"/>
      <c r="P400" s="27"/>
      <c r="Q400" s="13"/>
      <c r="R400" s="13"/>
      <c r="S400" s="13"/>
      <c r="T400" s="13"/>
      <c r="U400" s="13"/>
      <c r="V400" s="13"/>
      <c r="W400" s="13"/>
      <c r="X400" s="13"/>
      <c r="Y400" s="13" t="s">
        <v>45</v>
      </c>
      <c r="Z400" s="13"/>
      <c r="AA400" s="13" t="b">
        <v>0</v>
      </c>
      <c r="AB400" s="13" t="b">
        <v>0</v>
      </c>
      <c r="AC400" s="13" t="b">
        <v>0</v>
      </c>
      <c r="AD400" s="13"/>
      <c r="AE400" s="27"/>
      <c r="AF400" s="27" t="str">
        <f>IFERROR(__xludf.DUMMYFUNCTION("""COMPUTED_VALUE"""),"")</f>
        <v/>
      </c>
      <c r="AG400" s="27"/>
      <c r="AH400" s="27"/>
      <c r="AI400" s="27"/>
    </row>
    <row r="401" hidden="1" outlineLevel="2">
      <c r="A401" s="27" t="s">
        <v>231</v>
      </c>
      <c r="B401" s="30" t="s">
        <v>1295</v>
      </c>
      <c r="C401" s="27" t="s">
        <v>1296</v>
      </c>
      <c r="D401" s="27"/>
      <c r="E401" s="27"/>
      <c r="F401" s="27"/>
      <c r="G401" s="27" t="s">
        <v>107</v>
      </c>
      <c r="H401" s="27"/>
      <c r="I401" s="27"/>
      <c r="J401" s="27"/>
      <c r="K401" s="27"/>
      <c r="L401" s="27" t="s">
        <v>308</v>
      </c>
      <c r="M401" s="27"/>
      <c r="O401" s="27"/>
      <c r="P401" s="27"/>
      <c r="V401" s="13" t="s">
        <v>310</v>
      </c>
      <c r="W401" s="13" t="s">
        <v>1297</v>
      </c>
      <c r="Y401" s="13" t="s">
        <v>1297</v>
      </c>
      <c r="AA401" s="13" t="b">
        <v>0</v>
      </c>
      <c r="AB401" s="13" t="b">
        <v>0</v>
      </c>
      <c r="AC401" s="13" t="b">
        <v>0</v>
      </c>
      <c r="AE401" s="27"/>
      <c r="AF401" s="27" t="str">
        <f>IFERROR(__xludf.DUMMYFUNCTION("""COMPUTED_VALUE"""),"")</f>
        <v/>
      </c>
      <c r="AG401" s="27"/>
      <c r="AH401" s="27"/>
      <c r="AI401" s="27"/>
    </row>
    <row r="402" hidden="1" outlineLevel="2">
      <c r="A402" s="27" t="s">
        <v>1298</v>
      </c>
      <c r="B402" s="30" t="s">
        <v>1299</v>
      </c>
      <c r="C402" s="27" t="s">
        <v>1300</v>
      </c>
      <c r="D402" s="27"/>
      <c r="E402" s="27"/>
      <c r="F402" s="27"/>
      <c r="G402" s="27" t="s">
        <v>107</v>
      </c>
      <c r="H402" s="27"/>
      <c r="I402" s="27"/>
      <c r="J402" s="27"/>
      <c r="K402" s="27"/>
      <c r="L402" s="27"/>
      <c r="M402" s="27"/>
      <c r="O402" s="27"/>
      <c r="P402" s="27"/>
      <c r="W402" s="13" t="s">
        <v>1301</v>
      </c>
      <c r="Y402" s="13" t="s">
        <v>1301</v>
      </c>
      <c r="AA402" s="13" t="b">
        <v>0</v>
      </c>
      <c r="AB402" s="13" t="b">
        <v>0</v>
      </c>
      <c r="AC402" s="13" t="b">
        <v>0</v>
      </c>
      <c r="AE402" s="27"/>
      <c r="AF402" s="27" t="str">
        <f>IFERROR(__xludf.DUMMYFUNCTION("""COMPUTED_VALUE"""),"quick,likert,map,minimal,search,columns-pack,columns,columns-n,no-buttons,image-map,label,list-nolabel,list")</f>
        <v>quick,likert,map,minimal,search,columns-pack,columns,columns-n,no-buttons,image-map,label,list-nolabel,list</v>
      </c>
      <c r="AG402" s="27"/>
      <c r="AH402" s="27"/>
      <c r="AI402" s="27"/>
    </row>
    <row r="403" hidden="1" outlineLevel="2">
      <c r="A403" s="27"/>
      <c r="B403" s="30"/>
      <c r="C403" s="27"/>
      <c r="D403" s="27"/>
      <c r="E403" s="27"/>
      <c r="F403" s="27"/>
      <c r="G403" s="27"/>
      <c r="H403" s="27"/>
      <c r="I403" s="27"/>
      <c r="J403" s="27"/>
      <c r="K403" s="27"/>
      <c r="L403" s="27"/>
      <c r="M403" s="27"/>
      <c r="O403" s="27"/>
      <c r="P403" s="27"/>
      <c r="Y403" s="13" t="s">
        <v>45</v>
      </c>
      <c r="AA403" s="13" t="b">
        <v>0</v>
      </c>
      <c r="AB403" s="13" t="b">
        <v>0</v>
      </c>
      <c r="AC403" s="13" t="b">
        <v>0</v>
      </c>
      <c r="AE403" s="27"/>
      <c r="AF403" s="27" t="str">
        <f>IFERROR(__xludf.DUMMYFUNCTION("""COMPUTED_VALUE"""),"")</f>
        <v/>
      </c>
      <c r="AG403" s="27"/>
      <c r="AH403" s="27"/>
      <c r="AI403" s="27"/>
    </row>
    <row r="404" hidden="1" outlineLevel="2">
      <c r="A404" s="27" t="s">
        <v>1302</v>
      </c>
      <c r="B404" s="30" t="s">
        <v>1303</v>
      </c>
      <c r="C404" s="27" t="s">
        <v>1304</v>
      </c>
      <c r="D404" s="27"/>
      <c r="E404" s="27"/>
      <c r="F404" s="27"/>
      <c r="G404" s="27" t="s">
        <v>107</v>
      </c>
      <c r="H404" s="27" t="s">
        <v>1305</v>
      </c>
      <c r="I404" s="27"/>
      <c r="J404" s="27"/>
      <c r="K404" s="27"/>
      <c r="L404" s="27"/>
      <c r="M404" s="27"/>
      <c r="O404" s="27"/>
      <c r="P404" s="27"/>
      <c r="W404" s="13" t="s">
        <v>1306</v>
      </c>
      <c r="Y404" s="13" t="s">
        <v>1306</v>
      </c>
      <c r="AA404" s="13" t="b">
        <v>0</v>
      </c>
      <c r="AB404" s="13" t="b">
        <v>0</v>
      </c>
      <c r="AC404" s="13" t="b">
        <v>0</v>
      </c>
      <c r="AE404" s="27"/>
      <c r="AF404" s="27" t="str">
        <f>IFERROR(__xludf.DUMMYFUNCTION("""COMPUTED_VALUE"""),"minimal,search,columns-pack,columns,columns-n,no-buttons,image-map,label,list-nolabel,list")</f>
        <v>minimal,search,columns-pack,columns,columns-n,no-buttons,image-map,label,list-nolabel,list</v>
      </c>
      <c r="AG404" s="27"/>
      <c r="AH404" s="27"/>
      <c r="AI404" s="27"/>
    </row>
    <row r="405" hidden="1" outlineLevel="2">
      <c r="A405" s="27" t="s">
        <v>770</v>
      </c>
      <c r="B405" s="30" t="s">
        <v>1307</v>
      </c>
      <c r="C405" s="27" t="s">
        <v>1308</v>
      </c>
      <c r="D405" s="27" t="s">
        <v>1309</v>
      </c>
      <c r="E405" s="27"/>
      <c r="F405" s="27"/>
      <c r="G405" s="27" t="s">
        <v>107</v>
      </c>
      <c r="H405" s="27"/>
      <c r="I405" s="27"/>
      <c r="J405" s="27"/>
      <c r="K405" s="27"/>
      <c r="L405" s="27"/>
      <c r="M405" s="27"/>
      <c r="O405" s="27"/>
      <c r="P405" s="27"/>
      <c r="V405" s="13" t="s">
        <v>1310</v>
      </c>
      <c r="W405" s="13" t="s">
        <v>1311</v>
      </c>
      <c r="Y405" s="13" t="s">
        <v>1311</v>
      </c>
      <c r="AA405" s="13" t="b">
        <v>0</v>
      </c>
      <c r="AB405" s="13" t="b">
        <v>0</v>
      </c>
      <c r="AC405" s="13" t="b">
        <v>0</v>
      </c>
      <c r="AE405" s="27"/>
      <c r="AF405" s="27" t="str">
        <f>IFERROR(__xludf.DUMMYFUNCTION("""COMPUTED_VALUE"""),"ex:,thousands-sep,bearing")</f>
        <v>ex:,thousands-sep,bearing</v>
      </c>
      <c r="AG405" s="27"/>
      <c r="AH405" s="27"/>
      <c r="AI405" s="27"/>
    </row>
    <row r="406" hidden="1" outlineLevel="2">
      <c r="A406" s="27" t="s">
        <v>150</v>
      </c>
      <c r="B406" s="30" t="s">
        <v>1312</v>
      </c>
      <c r="C406" s="27" t="s">
        <v>1313</v>
      </c>
      <c r="D406" s="27" t="s">
        <v>1314</v>
      </c>
      <c r="E406" s="27"/>
      <c r="F406" s="27"/>
      <c r="G406" s="27" t="s">
        <v>107</v>
      </c>
      <c r="H406" s="27"/>
      <c r="I406" s="27"/>
      <c r="J406" s="27"/>
      <c r="K406" s="27"/>
      <c r="L406" s="27"/>
      <c r="M406" s="27"/>
      <c r="O406" s="27"/>
      <c r="P406" s="27"/>
      <c r="V406" s="13" t="s">
        <v>1258</v>
      </c>
      <c r="W406" s="13" t="s">
        <v>1315</v>
      </c>
      <c r="Y406" s="13" t="s">
        <v>1315</v>
      </c>
      <c r="AA406" s="13" t="b">
        <v>0</v>
      </c>
      <c r="AB406" s="13" t="b">
        <v>0</v>
      </c>
      <c r="AC406" s="13" t="b">
        <v>0</v>
      </c>
      <c r="AE406" s="27"/>
      <c r="AF406" s="27" t="str">
        <f>IFERROR(__xludf.DUMMYFUNCTION("""COMPUTED_VALUE"""),"ex:,thousands-sep,counter")</f>
        <v>ex:,thousands-sep,counter</v>
      </c>
      <c r="AG406" s="27"/>
      <c r="AH406" s="27"/>
      <c r="AI406" s="27"/>
    </row>
    <row r="407" hidden="1" outlineLevel="2">
      <c r="A407" s="27" t="s">
        <v>770</v>
      </c>
      <c r="B407" s="30" t="s">
        <v>1316</v>
      </c>
      <c r="C407" s="27" t="s">
        <v>1317</v>
      </c>
      <c r="D407" s="27" t="s">
        <v>1318</v>
      </c>
      <c r="E407" s="27"/>
      <c r="F407" s="27"/>
      <c r="G407" s="27" t="s">
        <v>107</v>
      </c>
      <c r="H407" s="27" t="s">
        <v>1319</v>
      </c>
      <c r="I407" s="27"/>
      <c r="J407" s="27"/>
      <c r="K407" s="27"/>
      <c r="L407" s="27"/>
      <c r="M407" s="27"/>
      <c r="O407" s="27"/>
      <c r="P407" s="27"/>
      <c r="W407" s="13" t="s">
        <v>1320</v>
      </c>
      <c r="Y407" s="13" t="s">
        <v>1320</v>
      </c>
      <c r="AA407" s="13" t="b">
        <v>0</v>
      </c>
      <c r="AB407" s="13" t="b">
        <v>0</v>
      </c>
      <c r="AC407" s="13" t="b">
        <v>0</v>
      </c>
      <c r="AE407" s="27"/>
      <c r="AF407" s="27" t="str">
        <f>IFERROR(__xludf.DUMMYFUNCTION("""COMPUTED_VALUE"""),"ex:,thousands-sep,bearing")</f>
        <v>ex:,thousands-sep,bearing</v>
      </c>
      <c r="AG407" s="27"/>
      <c r="AH407" s="27"/>
      <c r="AI407" s="27"/>
    </row>
    <row r="408" hidden="1" outlineLevel="2">
      <c r="A408" s="27" t="s">
        <v>150</v>
      </c>
      <c r="B408" s="30" t="s">
        <v>1321</v>
      </c>
      <c r="C408" s="27" t="s">
        <v>1322</v>
      </c>
      <c r="D408" s="27" t="s">
        <v>1323</v>
      </c>
      <c r="E408" s="27"/>
      <c r="F408" s="27" t="s">
        <v>1324</v>
      </c>
      <c r="G408" s="27" t="s">
        <v>107</v>
      </c>
      <c r="H408" s="27"/>
      <c r="I408" s="27"/>
      <c r="J408" s="27"/>
      <c r="K408" s="27"/>
      <c r="L408" s="27"/>
      <c r="M408" s="27"/>
      <c r="O408" s="27"/>
      <c r="P408" s="27" t="s">
        <v>1324</v>
      </c>
      <c r="V408" s="13" t="s">
        <v>1325</v>
      </c>
      <c r="W408" s="13" t="s">
        <v>1326</v>
      </c>
      <c r="Y408" s="13" t="s">
        <v>1326</v>
      </c>
      <c r="AA408" s="13" t="b">
        <v>0</v>
      </c>
      <c r="AB408" s="13" t="b">
        <v>0</v>
      </c>
      <c r="AC408" s="13" t="b">
        <v>0</v>
      </c>
      <c r="AE408" s="27"/>
      <c r="AF408" s="27" t="str">
        <f>IFERROR(__xludf.DUMMYFUNCTION("""COMPUTED_VALUE"""),"ex:,thousands-sep,counter")</f>
        <v>ex:,thousands-sep,counter</v>
      </c>
      <c r="AG408" s="27"/>
      <c r="AH408" s="27"/>
      <c r="AI408" s="27"/>
    </row>
    <row r="409" hidden="1" outlineLevel="2">
      <c r="A409" s="27" t="s">
        <v>1327</v>
      </c>
      <c r="B409" s="30" t="s">
        <v>1328</v>
      </c>
      <c r="C409" s="27" t="s">
        <v>1329</v>
      </c>
      <c r="D409" s="27" t="s">
        <v>1314</v>
      </c>
      <c r="E409" s="27"/>
      <c r="F409" s="27"/>
      <c r="G409" s="27"/>
      <c r="H409" s="27"/>
      <c r="I409" s="27"/>
      <c r="J409" s="27"/>
      <c r="K409" s="27"/>
      <c r="L409" s="27"/>
      <c r="M409" s="27"/>
      <c r="O409" s="27"/>
      <c r="P409" s="27"/>
      <c r="W409" s="13" t="s">
        <v>1330</v>
      </c>
      <c r="Y409" s="13" t="s">
        <v>1330</v>
      </c>
      <c r="AA409" s="13" t="b">
        <v>0</v>
      </c>
      <c r="AB409" s="13" t="b">
        <v>0</v>
      </c>
      <c r="AC409" s="13" t="b">
        <v>0</v>
      </c>
      <c r="AE409" s="27"/>
      <c r="AF409" s="27" t="str">
        <f>IFERROR(__xludf.DUMMYFUNCTION("""COMPUTED_VALUE"""),"minimal,search,columns-pack,columns,columns-n,no-buttons,image-map,label,list-nolabel,list")</f>
        <v>minimal,search,columns-pack,columns,columns-n,no-buttons,image-map,label,list-nolabel,list</v>
      </c>
      <c r="AG409" s="27"/>
      <c r="AH409" s="27"/>
      <c r="AI409" s="27"/>
    </row>
    <row r="410" hidden="1" outlineLevel="2">
      <c r="A410" s="27" t="s">
        <v>150</v>
      </c>
      <c r="B410" s="30" t="s">
        <v>1331</v>
      </c>
      <c r="C410" s="27" t="s">
        <v>1332</v>
      </c>
      <c r="D410" s="27" t="s">
        <v>1333</v>
      </c>
      <c r="E410" s="27"/>
      <c r="F410" s="27" t="s">
        <v>1324</v>
      </c>
      <c r="G410" s="27" t="s">
        <v>107</v>
      </c>
      <c r="H410" s="27"/>
      <c r="I410" s="27"/>
      <c r="J410" s="27"/>
      <c r="K410" s="27"/>
      <c r="L410" s="27"/>
      <c r="M410" s="27"/>
      <c r="O410" s="27"/>
      <c r="P410" s="27" t="s">
        <v>1324</v>
      </c>
      <c r="W410" s="13" t="s">
        <v>1334</v>
      </c>
      <c r="Y410" s="13" t="s">
        <v>1334</v>
      </c>
      <c r="AA410" s="13" t="b">
        <v>0</v>
      </c>
      <c r="AB410" s="13" t="b">
        <v>0</v>
      </c>
      <c r="AC410" s="13" t="b">
        <v>0</v>
      </c>
      <c r="AE410" s="27"/>
      <c r="AF410" s="27" t="str">
        <f>IFERROR(__xludf.DUMMYFUNCTION("""COMPUTED_VALUE"""),"ex:,thousands-sep,counter")</f>
        <v>ex:,thousands-sep,counter</v>
      </c>
      <c r="AG410" s="27"/>
      <c r="AH410" s="27"/>
      <c r="AI410" s="27"/>
    </row>
    <row r="411" hidden="1" outlineLevel="2" collapsed="1">
      <c r="A411" s="27" t="s">
        <v>350</v>
      </c>
      <c r="B411" s="30" t="s">
        <v>1335</v>
      </c>
      <c r="C411" s="27"/>
      <c r="D411" s="27" t="s">
        <v>1333</v>
      </c>
      <c r="E411" s="27"/>
      <c r="F411" s="27"/>
      <c r="G411" s="27" t="s">
        <v>107</v>
      </c>
      <c r="H411" s="27"/>
      <c r="I411" s="27"/>
      <c r="J411" s="27"/>
      <c r="K411" s="27"/>
      <c r="L411" s="27"/>
      <c r="M411" s="27"/>
      <c r="N411" s="13"/>
      <c r="O411" s="27" t="s">
        <v>1336</v>
      </c>
      <c r="P411" s="27"/>
      <c r="Q411" s="13"/>
      <c r="R411" s="13"/>
      <c r="S411" s="13"/>
      <c r="T411" s="13"/>
      <c r="U411" s="13"/>
      <c r="V411" s="13"/>
      <c r="W411" s="13"/>
      <c r="X411" s="13"/>
      <c r="Y411" s="13" t="s">
        <v>45</v>
      </c>
      <c r="Z411" s="13"/>
      <c r="AA411" s="13" t="b">
        <v>0</v>
      </c>
      <c r="AB411" s="13" t="b">
        <v>0</v>
      </c>
      <c r="AC411" s="13" t="b">
        <v>0</v>
      </c>
      <c r="AD411" s="13"/>
      <c r="AE411" s="27"/>
      <c r="AF411" s="27" t="str">
        <f>IFERROR(__xludf.DUMMYFUNCTION("""COMPUTED_VALUE"""),"")</f>
        <v/>
      </c>
      <c r="AG411" s="27"/>
      <c r="AH411" s="27"/>
      <c r="AI411" s="27"/>
    </row>
    <row r="412" hidden="1" outlineLevel="3">
      <c r="A412" s="27" t="s">
        <v>770</v>
      </c>
      <c r="B412" s="30" t="s">
        <v>1337</v>
      </c>
      <c r="C412" s="27" t="s">
        <v>1338</v>
      </c>
      <c r="D412" s="27"/>
      <c r="E412" s="27"/>
      <c r="F412" s="27"/>
      <c r="G412" s="27" t="s">
        <v>107</v>
      </c>
      <c r="H412" s="27" t="s">
        <v>1339</v>
      </c>
      <c r="I412" s="27"/>
      <c r="J412" s="27"/>
      <c r="K412" s="27"/>
      <c r="L412" s="27"/>
      <c r="M412" s="27"/>
      <c r="O412" s="27"/>
      <c r="P412" s="27"/>
      <c r="W412" s="13" t="s">
        <v>1340</v>
      </c>
      <c r="Y412" s="13" t="s">
        <v>1340</v>
      </c>
      <c r="AA412" s="13" t="b">
        <v>0</v>
      </c>
      <c r="AB412" s="13" t="b">
        <v>0</v>
      </c>
      <c r="AC412" s="13" t="b">
        <v>0</v>
      </c>
      <c r="AE412" s="27"/>
      <c r="AF412" s="27" t="str">
        <f>IFERROR(__xludf.DUMMYFUNCTION("""COMPUTED_VALUE"""),"ex:,thousands-sep,bearing")</f>
        <v>ex:,thousands-sep,bearing</v>
      </c>
      <c r="AG412" s="27"/>
      <c r="AH412" s="27"/>
      <c r="AI412" s="27"/>
    </row>
    <row r="413" hidden="1" outlineLevel="3">
      <c r="A413" s="27" t="s">
        <v>80</v>
      </c>
      <c r="B413" s="30" t="s">
        <v>1341</v>
      </c>
      <c r="C413" s="27"/>
      <c r="D413" s="27"/>
      <c r="E413" s="27"/>
      <c r="F413" s="27" t="s">
        <v>1342</v>
      </c>
      <c r="G413" s="27"/>
      <c r="H413" s="27"/>
      <c r="I413" s="27"/>
      <c r="J413" s="27"/>
      <c r="K413" s="27"/>
      <c r="L413" s="27"/>
      <c r="M413" s="27"/>
      <c r="O413" s="27"/>
      <c r="P413" s="27"/>
      <c r="Y413" s="13" t="s">
        <v>45</v>
      </c>
      <c r="AA413" s="13" t="b">
        <v>0</v>
      </c>
      <c r="AB413" s="13" t="b">
        <v>0</v>
      </c>
      <c r="AC413" s="13" t="b">
        <v>0</v>
      </c>
      <c r="AE413" s="27"/>
      <c r="AF413" s="27" t="str">
        <f>IFERROR(__xludf.DUMMYFUNCTION("""COMPUTED_VALUE"""),"")</f>
        <v/>
      </c>
      <c r="AG413" s="27"/>
      <c r="AH413" s="27"/>
      <c r="AI413" s="27"/>
    </row>
    <row r="414" hidden="1" outlineLevel="3">
      <c r="A414" s="27" t="s">
        <v>770</v>
      </c>
      <c r="B414" s="30" t="s">
        <v>1343</v>
      </c>
      <c r="C414" s="27" t="s">
        <v>1344</v>
      </c>
      <c r="D414" s="27"/>
      <c r="E414" s="27"/>
      <c r="F414" s="27"/>
      <c r="G414" s="27" t="s">
        <v>107</v>
      </c>
      <c r="H414" s="27" t="s">
        <v>1345</v>
      </c>
      <c r="I414" s="27"/>
      <c r="J414" s="27"/>
      <c r="K414" s="27"/>
      <c r="L414" s="27"/>
      <c r="M414" s="27"/>
      <c r="O414" s="27"/>
      <c r="P414" s="27"/>
      <c r="W414" s="13" t="s">
        <v>1346</v>
      </c>
      <c r="Y414" s="13" t="s">
        <v>1346</v>
      </c>
      <c r="AA414" s="13" t="b">
        <v>0</v>
      </c>
      <c r="AB414" s="13" t="b">
        <v>0</v>
      </c>
      <c r="AC414" s="13" t="b">
        <v>0</v>
      </c>
      <c r="AE414" s="27"/>
      <c r="AF414" s="27" t="str">
        <f>IFERROR(__xludf.DUMMYFUNCTION("""COMPUTED_VALUE"""),"ex:,thousands-sep,bearing")</f>
        <v>ex:,thousands-sep,bearing</v>
      </c>
      <c r="AG414" s="27"/>
      <c r="AH414" s="27"/>
      <c r="AI414" s="27"/>
    </row>
    <row r="415" hidden="1" outlineLevel="3">
      <c r="A415" s="27" t="s">
        <v>770</v>
      </c>
      <c r="B415" s="30" t="s">
        <v>1347</v>
      </c>
      <c r="C415" s="27" t="s">
        <v>1348</v>
      </c>
      <c r="D415" s="27"/>
      <c r="E415" s="27"/>
      <c r="F415" s="27"/>
      <c r="G415" s="27" t="s">
        <v>107</v>
      </c>
      <c r="H415" s="27" t="s">
        <v>1345</v>
      </c>
      <c r="I415" s="27"/>
      <c r="J415" s="27"/>
      <c r="K415" s="27"/>
      <c r="L415" s="27"/>
      <c r="M415" s="27"/>
      <c r="O415" s="27"/>
      <c r="P415" s="27"/>
      <c r="W415" s="13" t="s">
        <v>1349</v>
      </c>
      <c r="Y415" s="13" t="s">
        <v>1349</v>
      </c>
      <c r="AA415" s="13" t="b">
        <v>0</v>
      </c>
      <c r="AB415" s="13" t="b">
        <v>0</v>
      </c>
      <c r="AC415" s="13" t="b">
        <v>0</v>
      </c>
      <c r="AE415" s="27"/>
      <c r="AF415" s="27" t="str">
        <f>IFERROR(__xludf.DUMMYFUNCTION("""COMPUTED_VALUE"""),"ex:,thousands-sep,bearing")</f>
        <v>ex:,thousands-sep,bearing</v>
      </c>
      <c r="AG415" s="27"/>
      <c r="AH415" s="27"/>
      <c r="AI415" s="27"/>
    </row>
    <row r="416" hidden="1" outlineLevel="3">
      <c r="A416" s="27" t="s">
        <v>770</v>
      </c>
      <c r="B416" s="30" t="s">
        <v>1350</v>
      </c>
      <c r="C416" s="27" t="s">
        <v>1351</v>
      </c>
      <c r="D416" s="27" t="s">
        <v>275</v>
      </c>
      <c r="E416" s="27"/>
      <c r="F416" s="27"/>
      <c r="G416" s="27"/>
      <c r="H416" s="27" t="s">
        <v>1229</v>
      </c>
      <c r="I416" s="27"/>
      <c r="J416" s="27"/>
      <c r="K416" s="27"/>
      <c r="L416" s="27"/>
      <c r="M416" s="27"/>
      <c r="O416" s="27"/>
      <c r="P416" s="27"/>
      <c r="W416" s="13" t="s">
        <v>1352</v>
      </c>
      <c r="Y416" s="13" t="s">
        <v>1352</v>
      </c>
      <c r="AA416" s="13" t="b">
        <v>0</v>
      </c>
      <c r="AB416" s="13" t="b">
        <v>0</v>
      </c>
      <c r="AC416" s="13" t="b">
        <v>0</v>
      </c>
      <c r="AE416" s="27"/>
      <c r="AF416" s="27" t="str">
        <f>IFERROR(__xludf.DUMMYFUNCTION("""COMPUTED_VALUE"""),"ex:,thousands-sep,bearing")</f>
        <v>ex:,thousands-sep,bearing</v>
      </c>
      <c r="AG416" s="27"/>
      <c r="AH416" s="27"/>
      <c r="AI416" s="27"/>
    </row>
    <row r="417" hidden="1" outlineLevel="2">
      <c r="A417" s="27" t="s">
        <v>379</v>
      </c>
      <c r="B417" s="30"/>
      <c r="C417" s="27"/>
      <c r="D417" s="27"/>
      <c r="E417" s="27"/>
      <c r="F417" s="27"/>
      <c r="G417" s="27"/>
      <c r="H417" s="27"/>
      <c r="I417" s="27"/>
      <c r="J417" s="27"/>
      <c r="K417" s="27"/>
      <c r="L417" s="27"/>
      <c r="M417" s="27"/>
      <c r="N417" s="13"/>
      <c r="O417" s="27"/>
      <c r="P417" s="27"/>
      <c r="Q417" s="13"/>
      <c r="R417" s="13"/>
      <c r="S417" s="13"/>
      <c r="T417" s="13"/>
      <c r="U417" s="13"/>
      <c r="V417" s="13"/>
      <c r="W417" s="13"/>
      <c r="X417" s="13"/>
      <c r="Y417" s="13" t="s">
        <v>45</v>
      </c>
      <c r="Z417" s="13"/>
      <c r="AA417" s="13" t="b">
        <v>0</v>
      </c>
      <c r="AB417" s="13" t="b">
        <v>0</v>
      </c>
      <c r="AC417" s="13" t="b">
        <v>0</v>
      </c>
      <c r="AD417" s="13"/>
      <c r="AE417" s="27"/>
      <c r="AF417" s="27" t="str">
        <f>IFERROR(__xludf.DUMMYFUNCTION("""COMPUTED_VALUE"""),"")</f>
        <v/>
      </c>
      <c r="AG417" s="27"/>
      <c r="AH417" s="27"/>
      <c r="AI417" s="27"/>
    </row>
    <row r="418" hidden="1" outlineLevel="2">
      <c r="A418" s="27" t="s">
        <v>770</v>
      </c>
      <c r="B418" s="30" t="s">
        <v>1353</v>
      </c>
      <c r="C418" s="27" t="s">
        <v>1354</v>
      </c>
      <c r="D418" s="27" t="s">
        <v>1355</v>
      </c>
      <c r="E418" s="27" t="s">
        <v>106</v>
      </c>
      <c r="F418" s="27"/>
      <c r="G418" s="27" t="s">
        <v>107</v>
      </c>
      <c r="H418" s="27" t="s">
        <v>1356</v>
      </c>
      <c r="I418" s="27"/>
      <c r="J418" s="27"/>
      <c r="K418" s="27"/>
      <c r="L418" s="27"/>
      <c r="M418" s="27"/>
      <c r="O418" s="27"/>
      <c r="P418" s="27"/>
      <c r="V418" s="13" t="s">
        <v>1357</v>
      </c>
      <c r="W418" s="13" t="s">
        <v>1358</v>
      </c>
      <c r="Y418" s="13" t="s">
        <v>1358</v>
      </c>
      <c r="AA418" s="13" t="b">
        <v>0</v>
      </c>
      <c r="AB418" s="13" t="b">
        <v>0</v>
      </c>
      <c r="AC418" s="13" t="b">
        <v>0</v>
      </c>
      <c r="AE418" s="27"/>
      <c r="AF418" s="27" t="str">
        <f>IFERROR(__xludf.DUMMYFUNCTION("""COMPUTED_VALUE"""),"ex:,thousands-sep,bearing")</f>
        <v>ex:,thousands-sep,bearing</v>
      </c>
      <c r="AG418" s="27"/>
      <c r="AH418" s="27"/>
      <c r="AI418" s="27"/>
    </row>
    <row r="419" hidden="1" outlineLevel="2">
      <c r="A419" s="27" t="s">
        <v>80</v>
      </c>
      <c r="B419" s="30" t="s">
        <v>1359</v>
      </c>
      <c r="C419" s="27"/>
      <c r="D419" s="27"/>
      <c r="E419" s="27"/>
      <c r="F419" s="27" t="s">
        <v>1360</v>
      </c>
      <c r="G419" s="27"/>
      <c r="H419" s="27"/>
      <c r="I419" s="27"/>
      <c r="J419" s="27"/>
      <c r="K419" s="27"/>
      <c r="L419" s="27"/>
      <c r="M419" s="27"/>
      <c r="O419" s="27"/>
      <c r="P419" s="27"/>
      <c r="Y419" s="13" t="s">
        <v>45</v>
      </c>
      <c r="AA419" s="13" t="b">
        <v>0</v>
      </c>
      <c r="AB419" s="13" t="b">
        <v>0</v>
      </c>
      <c r="AC419" s="13" t="b">
        <v>0</v>
      </c>
      <c r="AE419" s="27"/>
      <c r="AF419" s="27" t="str">
        <f>IFERROR(__xludf.DUMMYFUNCTION("""COMPUTED_VALUE"""),"")</f>
        <v/>
      </c>
      <c r="AG419" s="27"/>
      <c r="AH419" s="27"/>
      <c r="AI419" s="27"/>
    </row>
    <row r="420" hidden="1" outlineLevel="2" collapsed="1">
      <c r="A420" s="27" t="s">
        <v>113</v>
      </c>
      <c r="B420" s="30" t="s">
        <v>1361</v>
      </c>
      <c r="C420" s="27" t="s">
        <v>1362</v>
      </c>
      <c r="D420" s="27" t="s">
        <v>1363</v>
      </c>
      <c r="E420" s="27"/>
      <c r="F420" s="27"/>
      <c r="G420" s="27"/>
      <c r="H420" s="27"/>
      <c r="I420" s="27"/>
      <c r="J420" s="27"/>
      <c r="K420" s="27"/>
      <c r="L420" s="27"/>
      <c r="M420" s="27"/>
      <c r="N420" s="13"/>
      <c r="O420" s="27"/>
      <c r="P420" s="27"/>
      <c r="Q420" s="13"/>
      <c r="R420" s="13"/>
      <c r="S420" s="13"/>
      <c r="T420" s="13"/>
      <c r="U420" s="13"/>
      <c r="V420" s="13"/>
      <c r="W420" s="13"/>
      <c r="X420" s="13"/>
      <c r="Y420" s="13" t="s">
        <v>45</v>
      </c>
      <c r="Z420" s="13"/>
      <c r="AA420" s="13" t="b">
        <v>0</v>
      </c>
      <c r="AB420" s="13" t="b">
        <v>0</v>
      </c>
      <c r="AC420" s="13" t="b">
        <v>0</v>
      </c>
      <c r="AD420" s="13"/>
      <c r="AE420" s="27"/>
      <c r="AF420" s="27" t="str">
        <f>IFERROR(__xludf.DUMMYFUNCTION("""COMPUTED_VALUE"""),"")</f>
        <v/>
      </c>
      <c r="AG420" s="27"/>
      <c r="AH420" s="27"/>
      <c r="AI420" s="27"/>
    </row>
    <row r="421" hidden="1" outlineLevel="3">
      <c r="A421" s="27" t="s">
        <v>770</v>
      </c>
      <c r="B421" s="30" t="s">
        <v>1364</v>
      </c>
      <c r="C421" s="27" t="s">
        <v>1365</v>
      </c>
      <c r="D421" s="27"/>
      <c r="E421" s="27"/>
      <c r="F421" s="27"/>
      <c r="G421" s="27"/>
      <c r="H421" s="27"/>
      <c r="I421" s="27"/>
      <c r="J421" s="27"/>
      <c r="K421" s="27"/>
      <c r="L421" s="27"/>
      <c r="M421" s="27"/>
      <c r="O421" s="27"/>
      <c r="P421" s="27"/>
      <c r="Y421" s="13" t="s">
        <v>45</v>
      </c>
      <c r="AA421" s="13" t="b">
        <v>0</v>
      </c>
      <c r="AB421" s="13" t="b">
        <v>0</v>
      </c>
      <c r="AC421" s="13" t="b">
        <v>0</v>
      </c>
      <c r="AE421" s="27"/>
      <c r="AF421" s="27" t="str">
        <f>IFERROR(__xludf.DUMMYFUNCTION("""COMPUTED_VALUE"""),"ex:,thousands-sep,bearing")</f>
        <v>ex:,thousands-sep,bearing</v>
      </c>
      <c r="AG421" s="27"/>
      <c r="AH421" s="27"/>
      <c r="AI421" s="27"/>
    </row>
    <row r="422" hidden="1" outlineLevel="3">
      <c r="A422" s="27" t="s">
        <v>76</v>
      </c>
      <c r="B422" s="30" t="s">
        <v>1366</v>
      </c>
      <c r="C422" s="27" t="s">
        <v>1367</v>
      </c>
      <c r="D422" s="27"/>
      <c r="E422" s="27"/>
      <c r="F422" s="27"/>
      <c r="G422" s="27"/>
      <c r="H422" s="27"/>
      <c r="I422" s="27"/>
      <c r="J422" s="27"/>
      <c r="K422" s="27"/>
      <c r="L422" s="27"/>
      <c r="M422" s="27"/>
      <c r="O422" s="27"/>
      <c r="P422" s="27"/>
      <c r="Y422" s="13" t="s">
        <v>45</v>
      </c>
      <c r="AA422" s="13" t="b">
        <v>0</v>
      </c>
      <c r="AB422" s="13" t="b">
        <v>0</v>
      </c>
      <c r="AC422" s="13" t="b">
        <v>0</v>
      </c>
      <c r="AE422" s="27"/>
      <c r="AF422" s="27" t="str">
        <f>IFERROR(__xludf.DUMMYFUNCTION("""COMPUTED_VALUE"""),"")</f>
        <v/>
      </c>
      <c r="AG422" s="27"/>
      <c r="AH422" s="27"/>
      <c r="AI422" s="27"/>
    </row>
    <row r="423" hidden="1" outlineLevel="3">
      <c r="A423" s="27" t="s">
        <v>76</v>
      </c>
      <c r="B423" s="30" t="s">
        <v>1368</v>
      </c>
      <c r="C423" s="27" t="s">
        <v>1369</v>
      </c>
      <c r="D423" s="27"/>
      <c r="E423" s="27"/>
      <c r="F423" s="27"/>
      <c r="G423" s="27"/>
      <c r="H423" s="27"/>
      <c r="I423" s="27"/>
      <c r="J423" s="27"/>
      <c r="K423" s="27"/>
      <c r="L423" s="27"/>
      <c r="M423" s="27"/>
      <c r="O423" s="27"/>
      <c r="P423" s="27"/>
      <c r="Y423" s="13" t="s">
        <v>45</v>
      </c>
      <c r="AA423" s="13" t="b">
        <v>0</v>
      </c>
      <c r="AB423" s="13" t="b">
        <v>0</v>
      </c>
      <c r="AC423" s="13" t="b">
        <v>0</v>
      </c>
      <c r="AE423" s="27"/>
      <c r="AF423" s="27" t="str">
        <f>IFERROR(__xludf.DUMMYFUNCTION("""COMPUTED_VALUE"""),"")</f>
        <v/>
      </c>
      <c r="AG423" s="27"/>
      <c r="AH423" s="27"/>
      <c r="AI423" s="27"/>
    </row>
    <row r="424" hidden="1" outlineLevel="3">
      <c r="A424" s="27" t="s">
        <v>76</v>
      </c>
      <c r="B424" s="30" t="s">
        <v>1370</v>
      </c>
      <c r="C424" s="27" t="s">
        <v>1371</v>
      </c>
      <c r="D424" s="27"/>
      <c r="E424" s="27"/>
      <c r="F424" s="27"/>
      <c r="G424" s="27"/>
      <c r="H424" s="27"/>
      <c r="I424" s="27"/>
      <c r="J424" s="27"/>
      <c r="K424" s="27"/>
      <c r="L424" s="27"/>
      <c r="M424" s="27"/>
      <c r="O424" s="27"/>
      <c r="P424" s="27"/>
      <c r="Y424" s="13" t="s">
        <v>45</v>
      </c>
      <c r="AA424" s="13" t="b">
        <v>0</v>
      </c>
      <c r="AB424" s="13" t="b">
        <v>0</v>
      </c>
      <c r="AC424" s="13" t="b">
        <v>0</v>
      </c>
      <c r="AE424" s="27"/>
      <c r="AF424" s="27" t="str">
        <f>IFERROR(__xludf.DUMMYFUNCTION("""COMPUTED_VALUE"""),"")</f>
        <v/>
      </c>
      <c r="AG424" s="27"/>
      <c r="AH424" s="27"/>
      <c r="AI424" s="27"/>
    </row>
    <row r="425" hidden="1" outlineLevel="2">
      <c r="A425" s="27" t="s">
        <v>283</v>
      </c>
      <c r="B425" s="30"/>
      <c r="C425" s="27"/>
      <c r="D425" s="27"/>
      <c r="E425" s="27"/>
      <c r="F425" s="27"/>
      <c r="G425" s="27"/>
      <c r="H425" s="27"/>
      <c r="I425" s="27"/>
      <c r="J425" s="27"/>
      <c r="K425" s="27"/>
      <c r="L425" s="27"/>
      <c r="M425" s="27"/>
      <c r="N425" s="13"/>
      <c r="O425" s="27"/>
      <c r="P425" s="27"/>
      <c r="Q425" s="13"/>
      <c r="R425" s="13"/>
      <c r="S425" s="13"/>
      <c r="T425" s="13"/>
      <c r="U425" s="13"/>
      <c r="V425" s="13"/>
      <c r="W425" s="13"/>
      <c r="X425" s="13"/>
      <c r="Y425" s="13" t="s">
        <v>45</v>
      </c>
      <c r="Z425" s="13"/>
      <c r="AA425" s="13" t="b">
        <v>0</v>
      </c>
      <c r="AB425" s="13" t="b">
        <v>0</v>
      </c>
      <c r="AC425" s="13" t="b">
        <v>0</v>
      </c>
      <c r="AD425" s="13"/>
      <c r="AE425" s="27"/>
      <c r="AF425" s="27" t="str">
        <f>IFERROR(__xludf.DUMMYFUNCTION("""COMPUTED_VALUE"""),"")</f>
        <v/>
      </c>
      <c r="AG425" s="27"/>
      <c r="AH425" s="27"/>
      <c r="AI425" s="27"/>
    </row>
    <row r="426" hidden="1" outlineLevel="2">
      <c r="A426" s="27" t="s">
        <v>101</v>
      </c>
      <c r="B426" s="30" t="s">
        <v>1372</v>
      </c>
      <c r="C426" s="27" t="s">
        <v>1373</v>
      </c>
      <c r="D426" s="27"/>
      <c r="E426" s="27"/>
      <c r="F426" s="27"/>
      <c r="G426" s="27"/>
      <c r="H426" s="27"/>
      <c r="I426" s="27"/>
      <c r="J426" s="27"/>
      <c r="K426" s="27"/>
      <c r="L426" s="27"/>
      <c r="M426" s="27"/>
      <c r="O426" s="27"/>
      <c r="P426" s="27"/>
      <c r="W426" s="13" t="s">
        <v>1374</v>
      </c>
      <c r="Y426" s="13" t="s">
        <v>1374</v>
      </c>
      <c r="AA426" s="13" t="b">
        <v>0</v>
      </c>
      <c r="AB426" s="13" t="b">
        <v>0</v>
      </c>
      <c r="AC426" s="13" t="b">
        <v>0</v>
      </c>
      <c r="AE426" s="27"/>
      <c r="AF426" s="27" t="str">
        <f>IFERROR(__xludf.DUMMYFUNCTION("""COMPUTED_VALUE"""),"")</f>
        <v/>
      </c>
      <c r="AG426" s="27"/>
      <c r="AH426" s="27"/>
      <c r="AI426" s="27"/>
    </row>
    <row r="427" hidden="1" outlineLevel="2">
      <c r="A427" s="27" t="s">
        <v>80</v>
      </c>
      <c r="B427" s="30" t="s">
        <v>1375</v>
      </c>
      <c r="C427" s="27"/>
      <c r="D427" s="27"/>
      <c r="E427" s="27"/>
      <c r="F427" s="27" t="s">
        <v>1376</v>
      </c>
      <c r="G427" s="27"/>
      <c r="H427" s="27"/>
      <c r="I427" s="27"/>
      <c r="J427" s="27"/>
      <c r="K427" s="27"/>
      <c r="L427" s="27"/>
      <c r="M427" s="27"/>
      <c r="O427" s="27"/>
      <c r="P427" s="27"/>
      <c r="Y427" s="13" t="s">
        <v>45</v>
      </c>
      <c r="AA427" s="13" t="b">
        <v>0</v>
      </c>
      <c r="AB427" s="13" t="b">
        <v>0</v>
      </c>
      <c r="AC427" s="13" t="b">
        <v>0</v>
      </c>
      <c r="AE427" s="27"/>
      <c r="AF427" s="27" t="str">
        <f>IFERROR(__xludf.DUMMYFUNCTION("""COMPUTED_VALUE"""),"")</f>
        <v/>
      </c>
      <c r="AG427" s="27"/>
      <c r="AH427" s="27"/>
      <c r="AI427" s="27"/>
    </row>
    <row r="428" hidden="1" outlineLevel="2">
      <c r="A428" s="27" t="s">
        <v>101</v>
      </c>
      <c r="B428" s="30" t="s">
        <v>1377</v>
      </c>
      <c r="C428" s="27" t="s">
        <v>1378</v>
      </c>
      <c r="D428" s="27"/>
      <c r="E428" s="27"/>
      <c r="F428" s="27"/>
      <c r="G428" s="27"/>
      <c r="H428" s="27"/>
      <c r="I428" s="27"/>
      <c r="J428" s="27"/>
      <c r="K428" s="27"/>
      <c r="L428" s="27"/>
      <c r="M428" s="27"/>
      <c r="O428" s="27"/>
      <c r="P428" s="27"/>
      <c r="W428" s="13" t="s">
        <v>1379</v>
      </c>
      <c r="Y428" s="13" t="s">
        <v>1379</v>
      </c>
      <c r="AA428" s="13" t="b">
        <v>0</v>
      </c>
      <c r="AB428" s="13" t="b">
        <v>0</v>
      </c>
      <c r="AC428" s="13" t="b">
        <v>0</v>
      </c>
      <c r="AE428" s="27"/>
      <c r="AF428" s="27" t="str">
        <f>IFERROR(__xludf.DUMMYFUNCTION("""COMPUTED_VALUE"""),"")</f>
        <v/>
      </c>
      <c r="AG428" s="27"/>
      <c r="AH428" s="27"/>
      <c r="AI428" s="27"/>
    </row>
    <row r="429" hidden="1" outlineLevel="2">
      <c r="A429" s="27" t="s">
        <v>80</v>
      </c>
      <c r="B429" s="30" t="s">
        <v>1380</v>
      </c>
      <c r="C429" s="27"/>
      <c r="D429" s="27"/>
      <c r="E429" s="27"/>
      <c r="F429" s="27" t="s">
        <v>1381</v>
      </c>
      <c r="G429" s="27"/>
      <c r="H429" s="27"/>
      <c r="I429" s="27"/>
      <c r="J429" s="27"/>
      <c r="K429" s="27"/>
      <c r="L429" s="27"/>
      <c r="M429" s="27"/>
      <c r="O429" s="27"/>
      <c r="P429" s="27"/>
      <c r="Y429" s="13" t="s">
        <v>45</v>
      </c>
      <c r="AA429" s="13" t="b">
        <v>0</v>
      </c>
      <c r="AB429" s="13" t="b">
        <v>0</v>
      </c>
      <c r="AC429" s="13" t="b">
        <v>0</v>
      </c>
      <c r="AE429" s="27"/>
      <c r="AF429" s="27" t="str">
        <f>IFERROR(__xludf.DUMMYFUNCTION("""COMPUTED_VALUE"""),"")</f>
        <v/>
      </c>
      <c r="AG429" s="27"/>
      <c r="AH429" s="27"/>
      <c r="AI429" s="27"/>
    </row>
    <row r="430" hidden="1" outlineLevel="2">
      <c r="A430" s="27" t="s">
        <v>101</v>
      </c>
      <c r="B430" s="30" t="s">
        <v>1382</v>
      </c>
      <c r="C430" s="27" t="s">
        <v>1383</v>
      </c>
      <c r="D430" s="27"/>
      <c r="E430" s="27"/>
      <c r="F430" s="27"/>
      <c r="G430" s="27"/>
      <c r="H430" s="27"/>
      <c r="I430" s="27"/>
      <c r="J430" s="27"/>
      <c r="K430" s="27"/>
      <c r="L430" s="27"/>
      <c r="M430" s="27"/>
      <c r="O430" s="27"/>
      <c r="P430" s="27"/>
      <c r="W430" s="13" t="s">
        <v>1384</v>
      </c>
      <c r="Y430" s="13" t="s">
        <v>1384</v>
      </c>
      <c r="AA430" s="13" t="b">
        <v>0</v>
      </c>
      <c r="AB430" s="13" t="b">
        <v>0</v>
      </c>
      <c r="AC430" s="13" t="b">
        <v>0</v>
      </c>
      <c r="AE430" s="27"/>
      <c r="AF430" s="27" t="str">
        <f>IFERROR(__xludf.DUMMYFUNCTION("""COMPUTED_VALUE"""),"")</f>
        <v/>
      </c>
      <c r="AG430" s="27"/>
      <c r="AH430" s="27"/>
      <c r="AI430" s="27"/>
    </row>
    <row r="431" hidden="1" outlineLevel="2">
      <c r="A431" s="27" t="s">
        <v>80</v>
      </c>
      <c r="B431" s="30" t="s">
        <v>1385</v>
      </c>
      <c r="C431" s="27"/>
      <c r="D431" s="27"/>
      <c r="E431" s="27"/>
      <c r="F431" s="27" t="s">
        <v>1386</v>
      </c>
      <c r="G431" s="27"/>
      <c r="H431" s="27"/>
      <c r="I431" s="27"/>
      <c r="J431" s="27"/>
      <c r="K431" s="27"/>
      <c r="L431" s="27"/>
      <c r="M431" s="27"/>
      <c r="O431" s="27"/>
      <c r="P431" s="27"/>
      <c r="Y431" s="13" t="s">
        <v>45</v>
      </c>
      <c r="AA431" s="13" t="b">
        <v>0</v>
      </c>
      <c r="AB431" s="13" t="b">
        <v>0</v>
      </c>
      <c r="AC431" s="13" t="b">
        <v>0</v>
      </c>
      <c r="AE431" s="27"/>
      <c r="AF431" s="27" t="str">
        <f>IFERROR(__xludf.DUMMYFUNCTION("""COMPUTED_VALUE"""),"")</f>
        <v/>
      </c>
      <c r="AG431" s="27"/>
      <c r="AH431" s="27"/>
      <c r="AI431" s="27"/>
    </row>
    <row r="432" hidden="1" outlineLevel="2">
      <c r="A432" s="27" t="s">
        <v>101</v>
      </c>
      <c r="B432" s="30" t="s">
        <v>1387</v>
      </c>
      <c r="C432" s="27" t="s">
        <v>1388</v>
      </c>
      <c r="D432" s="27"/>
      <c r="E432" s="27"/>
      <c r="F432" s="27"/>
      <c r="G432" s="27"/>
      <c r="H432" s="27"/>
      <c r="I432" s="27"/>
      <c r="J432" s="27"/>
      <c r="K432" s="27"/>
      <c r="L432" s="27"/>
      <c r="M432" s="27"/>
      <c r="O432" s="27"/>
      <c r="P432" s="27"/>
      <c r="W432" s="13" t="s">
        <v>1389</v>
      </c>
      <c r="Y432" s="13" t="s">
        <v>1389</v>
      </c>
      <c r="AA432" s="13" t="b">
        <v>0</v>
      </c>
      <c r="AB432" s="13" t="b">
        <v>0</v>
      </c>
      <c r="AC432" s="13" t="b">
        <v>0</v>
      </c>
      <c r="AE432" s="27"/>
      <c r="AF432" s="27" t="str">
        <f>IFERROR(__xludf.DUMMYFUNCTION("""COMPUTED_VALUE"""),"")</f>
        <v/>
      </c>
      <c r="AG432" s="27"/>
      <c r="AH432" s="27"/>
      <c r="AI432" s="27"/>
    </row>
    <row r="433" hidden="1" outlineLevel="2">
      <c r="A433" s="27" t="s">
        <v>80</v>
      </c>
      <c r="B433" s="30" t="s">
        <v>1390</v>
      </c>
      <c r="C433" s="27"/>
      <c r="D433" s="27"/>
      <c r="E433" s="27"/>
      <c r="F433" s="27" t="s">
        <v>1391</v>
      </c>
      <c r="G433" s="27"/>
      <c r="H433" s="27"/>
      <c r="I433" s="27"/>
      <c r="J433" s="27"/>
      <c r="K433" s="27"/>
      <c r="L433" s="27"/>
      <c r="M433" s="27"/>
      <c r="O433" s="27"/>
      <c r="P433" s="27"/>
      <c r="Y433" s="13" t="s">
        <v>45</v>
      </c>
      <c r="AA433" s="13" t="b">
        <v>0</v>
      </c>
      <c r="AB433" s="13" t="b">
        <v>0</v>
      </c>
      <c r="AC433" s="13" t="b">
        <v>0</v>
      </c>
      <c r="AE433" s="27"/>
      <c r="AF433" s="27" t="str">
        <f>IFERROR(__xludf.DUMMYFUNCTION("""COMPUTED_VALUE"""),"")</f>
        <v/>
      </c>
      <c r="AG433" s="27"/>
      <c r="AH433" s="27"/>
      <c r="AI433" s="27"/>
    </row>
    <row r="434" hidden="1" outlineLevel="2">
      <c r="A434" s="27" t="s">
        <v>101</v>
      </c>
      <c r="B434" s="30" t="s">
        <v>1392</v>
      </c>
      <c r="C434" s="27" t="s">
        <v>1393</v>
      </c>
      <c r="D434" s="27"/>
      <c r="E434" s="27"/>
      <c r="F434" s="27"/>
      <c r="G434" s="27"/>
      <c r="H434" s="27"/>
      <c r="I434" s="27"/>
      <c r="J434" s="27"/>
      <c r="K434" s="27"/>
      <c r="L434" s="27"/>
      <c r="M434" s="27"/>
      <c r="O434" s="27"/>
      <c r="P434" s="27"/>
      <c r="W434" s="13" t="s">
        <v>1394</v>
      </c>
      <c r="Y434" s="13" t="s">
        <v>1394</v>
      </c>
      <c r="AA434" s="13" t="b">
        <v>0</v>
      </c>
      <c r="AB434" s="13" t="b">
        <v>0</v>
      </c>
      <c r="AC434" s="13" t="b">
        <v>0</v>
      </c>
      <c r="AE434" s="27"/>
      <c r="AF434" s="27" t="str">
        <f>IFERROR(__xludf.DUMMYFUNCTION("""COMPUTED_VALUE"""),"")</f>
        <v/>
      </c>
      <c r="AG434" s="27"/>
      <c r="AH434" s="27"/>
      <c r="AI434" s="27"/>
    </row>
    <row r="435" hidden="1" outlineLevel="2">
      <c r="A435" s="27" t="s">
        <v>76</v>
      </c>
      <c r="B435" s="30" t="s">
        <v>1395</v>
      </c>
      <c r="C435" s="27" t="s">
        <v>1396</v>
      </c>
      <c r="D435" s="27" t="s">
        <v>1314</v>
      </c>
      <c r="E435" s="27"/>
      <c r="F435" s="27"/>
      <c r="G435" s="27"/>
      <c r="H435" s="27"/>
      <c r="I435" s="27"/>
      <c r="J435" s="27"/>
      <c r="K435" s="27"/>
      <c r="L435" s="27"/>
      <c r="M435" s="27"/>
      <c r="O435" s="27"/>
      <c r="P435" s="27"/>
      <c r="W435" s="13" t="s">
        <v>1397</v>
      </c>
      <c r="Y435" s="13" t="s">
        <v>1397</v>
      </c>
      <c r="AA435" s="13" t="b">
        <v>0</v>
      </c>
      <c r="AB435" s="13" t="b">
        <v>0</v>
      </c>
      <c r="AC435" s="13" t="b">
        <v>0</v>
      </c>
      <c r="AE435" s="27"/>
      <c r="AF435" s="27" t="str">
        <f>IFERROR(__xludf.DUMMYFUNCTION("""COMPUTED_VALUE"""),"")</f>
        <v/>
      </c>
      <c r="AG435" s="27"/>
      <c r="AH435" s="27"/>
      <c r="AI435" s="27"/>
    </row>
    <row r="436" hidden="1" outlineLevel="2">
      <c r="A436" s="27" t="s">
        <v>76</v>
      </c>
      <c r="B436" s="30" t="s">
        <v>1398</v>
      </c>
      <c r="C436" s="27" t="s">
        <v>1399</v>
      </c>
      <c r="D436" s="27"/>
      <c r="E436" s="27"/>
      <c r="F436" s="27"/>
      <c r="G436" s="27"/>
      <c r="H436" s="27"/>
      <c r="I436" s="27"/>
      <c r="J436" s="27"/>
      <c r="K436" s="27"/>
      <c r="L436" s="27"/>
      <c r="M436" s="27"/>
      <c r="O436" s="27"/>
      <c r="P436" s="27"/>
      <c r="W436" s="13" t="s">
        <v>1400</v>
      </c>
      <c r="Y436" s="13" t="s">
        <v>1400</v>
      </c>
      <c r="AA436" s="13" t="b">
        <v>0</v>
      </c>
      <c r="AB436" s="13" t="b">
        <v>0</v>
      </c>
      <c r="AC436" s="13" t="b">
        <v>0</v>
      </c>
      <c r="AE436" s="27"/>
      <c r="AF436" s="27" t="str">
        <f>IFERROR(__xludf.DUMMYFUNCTION("""COMPUTED_VALUE"""),"")</f>
        <v/>
      </c>
      <c r="AG436" s="27"/>
      <c r="AH436" s="27"/>
      <c r="AI436" s="27"/>
    </row>
    <row r="437" hidden="1" outlineLevel="1">
      <c r="A437" s="27" t="s">
        <v>283</v>
      </c>
      <c r="B437" s="30"/>
      <c r="C437" s="27"/>
      <c r="D437" s="27"/>
      <c r="E437" s="27"/>
      <c r="F437" s="27"/>
      <c r="G437" s="27"/>
      <c r="H437" s="27"/>
      <c r="I437" s="27"/>
      <c r="J437" s="27"/>
      <c r="K437" s="27"/>
      <c r="L437" s="27"/>
      <c r="M437" s="27"/>
      <c r="N437" s="13"/>
      <c r="O437" s="27"/>
      <c r="P437" s="27"/>
      <c r="Q437" s="13"/>
      <c r="R437" s="13"/>
      <c r="S437" s="13"/>
      <c r="T437" s="13"/>
      <c r="U437" s="13"/>
      <c r="V437" s="13"/>
      <c r="W437" s="13"/>
      <c r="X437" s="13"/>
      <c r="Y437" s="13" t="s">
        <v>45</v>
      </c>
      <c r="Z437" s="13"/>
      <c r="AA437" s="13" t="b">
        <v>0</v>
      </c>
      <c r="AB437" s="13" t="b">
        <v>0</v>
      </c>
      <c r="AC437" s="13" t="b">
        <v>0</v>
      </c>
      <c r="AD437" s="13"/>
      <c r="AE437" s="27"/>
      <c r="AF437" s="27" t="str">
        <f>IFERROR(__xludf.DUMMYFUNCTION("""COMPUTED_VALUE"""),"")</f>
        <v/>
      </c>
      <c r="AG437" s="27"/>
      <c r="AH437" s="27"/>
      <c r="AI437" s="27"/>
    </row>
    <row r="438">
      <c r="A438" s="27" t="s">
        <v>283</v>
      </c>
      <c r="B438" s="30"/>
      <c r="C438" s="27"/>
      <c r="D438" s="27"/>
      <c r="E438" s="27"/>
      <c r="F438" s="27"/>
      <c r="G438" s="27"/>
      <c r="H438" s="27"/>
      <c r="I438" s="27"/>
      <c r="J438" s="27"/>
      <c r="K438" s="27"/>
      <c r="L438" s="27"/>
      <c r="M438" s="27"/>
      <c r="N438" s="13"/>
      <c r="O438" s="27"/>
      <c r="P438" s="27"/>
      <c r="Q438" s="13"/>
      <c r="R438" s="13"/>
      <c r="S438" s="13"/>
      <c r="T438" s="13"/>
      <c r="U438" s="13"/>
      <c r="V438" s="13"/>
      <c r="W438" s="13"/>
      <c r="X438" s="13"/>
      <c r="Y438" s="13" t="s">
        <v>45</v>
      </c>
      <c r="Z438" s="13"/>
      <c r="AA438" s="13" t="b">
        <v>0</v>
      </c>
      <c r="AB438" s="13" t="b">
        <v>0</v>
      </c>
      <c r="AC438" s="13" t="b">
        <v>0</v>
      </c>
      <c r="AD438" s="13"/>
      <c r="AE438" s="27"/>
      <c r="AF438" s="27" t="str">
        <f>IFERROR(__xludf.DUMMYFUNCTION("""COMPUTED_VALUE"""),"")</f>
        <v/>
      </c>
      <c r="AG438" s="27"/>
      <c r="AH438" s="27"/>
      <c r="AI438" s="27"/>
    </row>
    <row r="439">
      <c r="A439" s="27"/>
      <c r="B439" s="30"/>
      <c r="C439" s="27"/>
      <c r="D439" s="27"/>
      <c r="E439" s="27"/>
      <c r="F439" s="27"/>
      <c r="G439" s="27"/>
      <c r="H439" s="27"/>
      <c r="I439" s="27"/>
      <c r="J439" s="27"/>
      <c r="K439" s="27"/>
      <c r="L439" s="27"/>
      <c r="M439" s="27"/>
      <c r="O439" s="27"/>
      <c r="P439" s="27"/>
      <c r="Y439" s="13" t="s">
        <v>45</v>
      </c>
      <c r="AA439" s="13" t="b">
        <v>0</v>
      </c>
      <c r="AB439" s="13" t="b">
        <v>0</v>
      </c>
      <c r="AC439" s="13" t="b">
        <v>0</v>
      </c>
      <c r="AE439" s="27"/>
      <c r="AF439" s="27" t="str">
        <f>IFERROR(__xludf.DUMMYFUNCTION("""COMPUTED_VALUE"""),"")</f>
        <v/>
      </c>
      <c r="AG439" s="27"/>
      <c r="AH439" s="27"/>
      <c r="AI439" s="27"/>
    </row>
    <row r="440">
      <c r="A440" s="27"/>
      <c r="B440" s="30"/>
      <c r="C440" s="27"/>
      <c r="D440" s="27"/>
      <c r="E440" s="27"/>
      <c r="F440" s="27"/>
      <c r="G440" s="27"/>
      <c r="H440" s="27"/>
      <c r="I440" s="27"/>
      <c r="J440" s="27"/>
      <c r="K440" s="27"/>
      <c r="L440" s="27"/>
      <c r="M440" s="27"/>
      <c r="O440" s="27"/>
      <c r="P440" s="27"/>
      <c r="AA440" s="13" t="b">
        <v>0</v>
      </c>
      <c r="AB440" s="13" t="b">
        <v>0</v>
      </c>
      <c r="AC440" s="13" t="b">
        <v>0</v>
      </c>
      <c r="AE440" s="27"/>
      <c r="AF440" s="27" t="str">
        <f>IFERROR(__xludf.DUMMYFUNCTION("""COMPUTED_VALUE"""),"")</f>
        <v/>
      </c>
      <c r="AG440" s="27"/>
      <c r="AH440" s="27"/>
      <c r="AI440" s="27"/>
    </row>
    <row r="441">
      <c r="A441" s="27"/>
      <c r="B441" s="30"/>
      <c r="C441" s="27"/>
      <c r="D441" s="27"/>
      <c r="E441" s="27"/>
      <c r="F441" s="27"/>
      <c r="G441" s="27"/>
      <c r="H441" s="27"/>
      <c r="I441" s="27"/>
      <c r="J441" s="27"/>
      <c r="K441" s="27"/>
      <c r="L441" s="27"/>
      <c r="M441" s="27"/>
      <c r="O441" s="27"/>
      <c r="P441" s="27"/>
      <c r="AA441" s="13" t="b">
        <v>0</v>
      </c>
      <c r="AB441" s="13" t="b">
        <v>0</v>
      </c>
      <c r="AC441" s="13" t="b">
        <v>0</v>
      </c>
      <c r="AE441" s="27"/>
      <c r="AF441" s="27" t="str">
        <f>IFERROR(__xludf.DUMMYFUNCTION("""COMPUTED_VALUE"""),"")</f>
        <v/>
      </c>
      <c r="AG441" s="27"/>
      <c r="AH441" s="27"/>
      <c r="AI441" s="27"/>
    </row>
    <row r="442">
      <c r="A442" s="27"/>
      <c r="B442" s="30"/>
      <c r="C442" s="27"/>
      <c r="D442" s="27"/>
      <c r="E442" s="27"/>
      <c r="F442" s="27"/>
      <c r="G442" s="27"/>
      <c r="H442" s="27"/>
      <c r="I442" s="27"/>
      <c r="J442" s="27"/>
      <c r="K442" s="27"/>
      <c r="L442" s="27"/>
      <c r="M442" s="27"/>
      <c r="O442" s="27"/>
      <c r="P442" s="27"/>
      <c r="AA442" s="13" t="b">
        <v>0</v>
      </c>
      <c r="AB442" s="13" t="b">
        <v>0</v>
      </c>
      <c r="AC442" s="13" t="b">
        <v>0</v>
      </c>
      <c r="AE442" s="27"/>
      <c r="AF442" s="27" t="str">
        <f>IFERROR(__xludf.DUMMYFUNCTION("""COMPUTED_VALUE"""),"")</f>
        <v/>
      </c>
      <c r="AG442" s="27"/>
      <c r="AH442" s="27"/>
      <c r="AI442" s="27"/>
    </row>
    <row r="443">
      <c r="A443" s="27"/>
      <c r="B443" s="30"/>
      <c r="C443" s="27"/>
      <c r="D443" s="27"/>
      <c r="E443" s="27"/>
      <c r="F443" s="27"/>
      <c r="G443" s="27"/>
      <c r="H443" s="27"/>
      <c r="I443" s="27"/>
      <c r="J443" s="27"/>
      <c r="K443" s="27"/>
      <c r="L443" s="27"/>
      <c r="M443" s="27"/>
      <c r="O443" s="27"/>
      <c r="P443" s="27"/>
      <c r="AA443" s="13" t="b">
        <v>0</v>
      </c>
      <c r="AB443" s="13" t="b">
        <v>0</v>
      </c>
      <c r="AC443" s="13" t="b">
        <v>0</v>
      </c>
      <c r="AE443" s="27"/>
      <c r="AF443" s="27" t="str">
        <f>IFERROR(__xludf.DUMMYFUNCTION("""COMPUTED_VALUE"""),"")</f>
        <v/>
      </c>
      <c r="AG443" s="27"/>
      <c r="AH443" s="27"/>
      <c r="AI443" s="27"/>
    </row>
    <row r="444">
      <c r="A444" s="27"/>
      <c r="B444" s="30"/>
      <c r="C444" s="27"/>
      <c r="D444" s="27"/>
      <c r="E444" s="27"/>
      <c r="F444" s="27"/>
      <c r="G444" s="27"/>
      <c r="H444" s="27"/>
      <c r="I444" s="27"/>
      <c r="J444" s="27"/>
      <c r="K444" s="27"/>
      <c r="L444" s="27"/>
      <c r="M444" s="27"/>
      <c r="O444" s="27"/>
      <c r="P444" s="27"/>
      <c r="AA444" s="13" t="b">
        <v>0</v>
      </c>
      <c r="AB444" s="13" t="b">
        <v>0</v>
      </c>
      <c r="AC444" s="13" t="b">
        <v>0</v>
      </c>
      <c r="AE444" s="27"/>
      <c r="AF444" s="27" t="str">
        <f>IFERROR(__xludf.DUMMYFUNCTION("""COMPUTED_VALUE"""),"")</f>
        <v/>
      </c>
      <c r="AG444" s="27"/>
      <c r="AH444" s="27"/>
      <c r="AI444" s="27"/>
    </row>
    <row r="445">
      <c r="A445" s="27"/>
      <c r="B445" s="30"/>
      <c r="C445" s="27"/>
      <c r="D445" s="27"/>
      <c r="E445" s="27"/>
      <c r="F445" s="27"/>
      <c r="G445" s="27"/>
      <c r="H445" s="27"/>
      <c r="I445" s="27"/>
      <c r="J445" s="27"/>
      <c r="K445" s="27"/>
      <c r="L445" s="27"/>
      <c r="M445" s="27"/>
      <c r="O445" s="27"/>
      <c r="P445" s="27"/>
      <c r="AA445" s="13" t="b">
        <v>0</v>
      </c>
      <c r="AB445" s="13" t="b">
        <v>0</v>
      </c>
      <c r="AC445" s="13" t="b">
        <v>0</v>
      </c>
      <c r="AE445" s="27"/>
      <c r="AF445" s="27" t="str">
        <f>IFERROR(__xludf.DUMMYFUNCTION("""COMPUTED_VALUE"""),"")</f>
        <v/>
      </c>
      <c r="AG445" s="27"/>
      <c r="AH445" s="27"/>
      <c r="AI445" s="27"/>
    </row>
    <row r="446">
      <c r="A446" s="27"/>
      <c r="B446" s="30"/>
      <c r="C446" s="27"/>
      <c r="D446" s="27"/>
      <c r="E446" s="27"/>
      <c r="F446" s="27"/>
      <c r="G446" s="27"/>
      <c r="H446" s="27"/>
      <c r="I446" s="27"/>
      <c r="J446" s="27"/>
      <c r="K446" s="27"/>
      <c r="L446" s="27"/>
      <c r="M446" s="27"/>
      <c r="O446" s="27"/>
      <c r="P446" s="27"/>
      <c r="AA446" s="13" t="b">
        <v>0</v>
      </c>
      <c r="AB446" s="13" t="b">
        <v>0</v>
      </c>
      <c r="AC446" s="13" t="b">
        <v>0</v>
      </c>
      <c r="AE446" s="27"/>
      <c r="AF446" s="27" t="str">
        <f>IFERROR(__xludf.DUMMYFUNCTION("""COMPUTED_VALUE"""),"")</f>
        <v/>
      </c>
      <c r="AG446" s="27"/>
      <c r="AH446" s="27"/>
      <c r="AI446" s="27"/>
    </row>
    <row r="447">
      <c r="A447" s="27"/>
      <c r="B447" s="30"/>
      <c r="C447" s="27"/>
      <c r="D447" s="27"/>
      <c r="E447" s="27"/>
      <c r="F447" s="27"/>
      <c r="G447" s="27"/>
      <c r="H447" s="27"/>
      <c r="I447" s="27"/>
      <c r="J447" s="27"/>
      <c r="K447" s="27"/>
      <c r="L447" s="27"/>
      <c r="M447" s="27"/>
      <c r="O447" s="27"/>
      <c r="P447" s="27"/>
      <c r="AA447" s="13" t="b">
        <v>0</v>
      </c>
      <c r="AB447" s="13" t="b">
        <v>0</v>
      </c>
      <c r="AC447" s="13" t="b">
        <v>0</v>
      </c>
      <c r="AE447" s="27"/>
      <c r="AF447" s="27" t="str">
        <f>IFERROR(__xludf.DUMMYFUNCTION("""COMPUTED_VALUE"""),"")</f>
        <v/>
      </c>
      <c r="AG447" s="27"/>
      <c r="AH447" s="27"/>
      <c r="AI447" s="27"/>
    </row>
    <row r="448">
      <c r="A448" s="27"/>
      <c r="B448" s="30"/>
      <c r="C448" s="27"/>
      <c r="D448" s="27"/>
      <c r="E448" s="27"/>
      <c r="F448" s="27"/>
      <c r="G448" s="27"/>
      <c r="H448" s="27"/>
      <c r="I448" s="27"/>
      <c r="J448" s="27"/>
      <c r="K448" s="27"/>
      <c r="L448" s="27"/>
      <c r="M448" s="27"/>
      <c r="O448" s="27"/>
      <c r="P448" s="27"/>
      <c r="AA448" s="13" t="b">
        <v>0</v>
      </c>
      <c r="AB448" s="13" t="b">
        <v>0</v>
      </c>
      <c r="AC448" s="13" t="b">
        <v>0</v>
      </c>
      <c r="AE448" s="27"/>
      <c r="AF448" s="27" t="str">
        <f>IFERROR(__xludf.DUMMYFUNCTION("""COMPUTED_VALUE"""),"")</f>
        <v/>
      </c>
      <c r="AG448" s="27"/>
      <c r="AH448" s="27"/>
      <c r="AI448" s="27"/>
    </row>
    <row r="449">
      <c r="A449" s="27"/>
      <c r="B449" s="30"/>
      <c r="C449" s="27"/>
      <c r="D449" s="27"/>
      <c r="E449" s="27"/>
      <c r="F449" s="27"/>
      <c r="G449" s="27"/>
      <c r="H449" s="27"/>
      <c r="I449" s="27"/>
      <c r="J449" s="27"/>
      <c r="K449" s="27"/>
      <c r="L449" s="27"/>
      <c r="M449" s="27"/>
      <c r="O449" s="27"/>
      <c r="P449" s="27"/>
      <c r="AA449" s="13" t="b">
        <v>0</v>
      </c>
      <c r="AB449" s="13" t="b">
        <v>0</v>
      </c>
      <c r="AC449" s="13" t="b">
        <v>0</v>
      </c>
      <c r="AE449" s="27"/>
      <c r="AF449" s="27" t="str">
        <f>IFERROR(__xludf.DUMMYFUNCTION("""COMPUTED_VALUE"""),"")</f>
        <v/>
      </c>
      <c r="AG449" s="27"/>
      <c r="AH449" s="27"/>
      <c r="AI449" s="27"/>
    </row>
    <row r="450">
      <c r="A450" s="27"/>
      <c r="B450" s="30"/>
      <c r="C450" s="27"/>
      <c r="D450" s="27"/>
      <c r="E450" s="27"/>
      <c r="F450" s="27"/>
      <c r="G450" s="27"/>
      <c r="H450" s="27"/>
      <c r="I450" s="27"/>
      <c r="J450" s="27"/>
      <c r="K450" s="27"/>
      <c r="L450" s="27"/>
      <c r="M450" s="27"/>
      <c r="O450" s="27"/>
      <c r="P450" s="27"/>
      <c r="AA450" s="13" t="b">
        <v>0</v>
      </c>
      <c r="AB450" s="13" t="b">
        <v>0</v>
      </c>
      <c r="AC450" s="13" t="b">
        <v>0</v>
      </c>
      <c r="AE450" s="27"/>
      <c r="AF450" s="27" t="str">
        <f>IFERROR(__xludf.DUMMYFUNCTION("""COMPUTED_VALUE"""),"")</f>
        <v/>
      </c>
      <c r="AG450" s="27"/>
      <c r="AH450" s="27"/>
      <c r="AI450" s="27"/>
    </row>
    <row r="451">
      <c r="A451" s="27"/>
      <c r="B451" s="30"/>
      <c r="C451" s="27"/>
      <c r="D451" s="27"/>
      <c r="E451" s="27"/>
      <c r="F451" s="27"/>
      <c r="G451" s="27"/>
      <c r="H451" s="27"/>
      <c r="I451" s="27"/>
      <c r="J451" s="27"/>
      <c r="K451" s="27"/>
      <c r="L451" s="27"/>
      <c r="M451" s="27"/>
      <c r="O451" s="27"/>
      <c r="P451" s="27"/>
      <c r="AA451" s="13" t="b">
        <v>0</v>
      </c>
      <c r="AB451" s="13" t="b">
        <v>0</v>
      </c>
      <c r="AC451" s="13" t="b">
        <v>0</v>
      </c>
      <c r="AE451" s="27"/>
      <c r="AF451" s="27" t="str">
        <f>IFERROR(__xludf.DUMMYFUNCTION("""COMPUTED_VALUE"""),"")</f>
        <v/>
      </c>
      <c r="AG451" s="27"/>
      <c r="AH451" s="27"/>
      <c r="AI451" s="27"/>
    </row>
    <row r="452">
      <c r="A452" s="27"/>
      <c r="B452" s="30"/>
      <c r="C452" s="27"/>
      <c r="D452" s="27"/>
      <c r="E452" s="27"/>
      <c r="F452" s="27"/>
      <c r="G452" s="27"/>
      <c r="H452" s="27"/>
      <c r="I452" s="27"/>
      <c r="J452" s="27"/>
      <c r="K452" s="27"/>
      <c r="L452" s="27"/>
      <c r="M452" s="27"/>
      <c r="O452" s="27"/>
      <c r="P452" s="27"/>
      <c r="AA452" s="13" t="b">
        <v>0</v>
      </c>
      <c r="AB452" s="13" t="b">
        <v>0</v>
      </c>
      <c r="AC452" s="13" t="b">
        <v>0</v>
      </c>
      <c r="AE452" s="27"/>
      <c r="AF452" s="27" t="str">
        <f>IFERROR(__xludf.DUMMYFUNCTION("""COMPUTED_VALUE"""),"")</f>
        <v/>
      </c>
      <c r="AG452" s="27"/>
      <c r="AH452" s="27"/>
      <c r="AI452" s="27"/>
    </row>
    <row r="453">
      <c r="A453" s="27"/>
      <c r="B453" s="30"/>
      <c r="C453" s="27"/>
      <c r="D453" s="27"/>
      <c r="E453" s="27"/>
      <c r="F453" s="27"/>
      <c r="G453" s="27"/>
      <c r="H453" s="27"/>
      <c r="I453" s="27"/>
      <c r="J453" s="27"/>
      <c r="K453" s="27"/>
      <c r="L453" s="27"/>
      <c r="M453" s="27"/>
      <c r="O453" s="27"/>
      <c r="P453" s="27"/>
      <c r="AA453" s="13" t="b">
        <v>0</v>
      </c>
      <c r="AB453" s="13" t="b">
        <v>0</v>
      </c>
      <c r="AC453" s="13" t="b">
        <v>0</v>
      </c>
      <c r="AE453" s="27"/>
      <c r="AF453" s="27" t="str">
        <f>IFERROR(__xludf.DUMMYFUNCTION("""COMPUTED_VALUE"""),"")</f>
        <v/>
      </c>
      <c r="AG453" s="27"/>
      <c r="AH453" s="27"/>
      <c r="AI453" s="27"/>
    </row>
    <row r="454">
      <c r="A454" s="27"/>
      <c r="B454" s="30"/>
      <c r="C454" s="27"/>
      <c r="D454" s="27"/>
      <c r="E454" s="27"/>
      <c r="F454" s="27"/>
      <c r="G454" s="27"/>
      <c r="H454" s="27"/>
      <c r="I454" s="27"/>
      <c r="J454" s="27"/>
      <c r="K454" s="27"/>
      <c r="L454" s="27"/>
      <c r="M454" s="27"/>
      <c r="O454" s="27"/>
      <c r="P454" s="27"/>
      <c r="AA454" s="13" t="b">
        <v>0</v>
      </c>
      <c r="AB454" s="13" t="b">
        <v>0</v>
      </c>
      <c r="AC454" s="13" t="b">
        <v>0</v>
      </c>
      <c r="AE454" s="27"/>
      <c r="AF454" s="27" t="str">
        <f>IFERROR(__xludf.DUMMYFUNCTION("""COMPUTED_VALUE"""),"")</f>
        <v/>
      </c>
      <c r="AG454" s="27"/>
      <c r="AH454" s="27"/>
      <c r="AI454" s="27"/>
    </row>
    <row r="455">
      <c r="A455" s="27"/>
      <c r="B455" s="30"/>
      <c r="C455" s="27"/>
      <c r="D455" s="27"/>
      <c r="E455" s="27"/>
      <c r="F455" s="27"/>
      <c r="G455" s="27"/>
      <c r="H455" s="27"/>
      <c r="I455" s="27"/>
      <c r="J455" s="27"/>
      <c r="K455" s="27"/>
      <c r="L455" s="27"/>
      <c r="M455" s="27"/>
      <c r="O455" s="27"/>
      <c r="P455" s="27"/>
      <c r="AA455" s="13" t="b">
        <v>0</v>
      </c>
      <c r="AB455" s="13" t="b">
        <v>0</v>
      </c>
      <c r="AC455" s="13" t="b">
        <v>0</v>
      </c>
      <c r="AE455" s="27"/>
      <c r="AF455" s="27" t="str">
        <f>IFERROR(__xludf.DUMMYFUNCTION("""COMPUTED_VALUE"""),"")</f>
        <v/>
      </c>
      <c r="AG455" s="27"/>
      <c r="AH455" s="27"/>
      <c r="AI455" s="27"/>
    </row>
    <row r="456">
      <c r="A456" s="27"/>
      <c r="B456" s="30"/>
      <c r="C456" s="27"/>
      <c r="D456" s="27"/>
      <c r="E456" s="27"/>
      <c r="F456" s="27"/>
      <c r="G456" s="27"/>
      <c r="H456" s="27"/>
      <c r="I456" s="27"/>
      <c r="J456" s="27"/>
      <c r="K456" s="27"/>
      <c r="L456" s="27"/>
      <c r="M456" s="27"/>
      <c r="O456" s="27"/>
      <c r="P456" s="27"/>
      <c r="AA456" s="13" t="b">
        <v>0</v>
      </c>
      <c r="AB456" s="13" t="b">
        <v>0</v>
      </c>
      <c r="AC456" s="13" t="b">
        <v>0</v>
      </c>
      <c r="AE456" s="27"/>
      <c r="AF456" s="27" t="str">
        <f>IFERROR(__xludf.DUMMYFUNCTION("""COMPUTED_VALUE"""),"")</f>
        <v/>
      </c>
      <c r="AG456" s="27"/>
      <c r="AH456" s="27"/>
      <c r="AI456" s="27"/>
    </row>
    <row r="457">
      <c r="A457" s="27"/>
      <c r="B457" s="30"/>
      <c r="C457" s="27"/>
      <c r="D457" s="27"/>
      <c r="E457" s="27"/>
      <c r="F457" s="27"/>
      <c r="G457" s="27"/>
      <c r="H457" s="27"/>
      <c r="I457" s="27"/>
      <c r="J457" s="27"/>
      <c r="K457" s="27"/>
      <c r="L457" s="27"/>
      <c r="M457" s="27"/>
      <c r="O457" s="27"/>
      <c r="P457" s="27"/>
      <c r="AA457" s="13" t="b">
        <v>0</v>
      </c>
      <c r="AB457" s="13" t="b">
        <v>0</v>
      </c>
      <c r="AC457" s="13" t="b">
        <v>0</v>
      </c>
      <c r="AE457" s="27"/>
      <c r="AF457" s="27" t="str">
        <f>IFERROR(__xludf.DUMMYFUNCTION("""COMPUTED_VALUE"""),"")</f>
        <v/>
      </c>
      <c r="AG457" s="27"/>
      <c r="AH457" s="27"/>
      <c r="AI457" s="27"/>
    </row>
    <row r="458">
      <c r="A458" s="27"/>
      <c r="B458" s="30"/>
      <c r="C458" s="27"/>
      <c r="D458" s="27"/>
      <c r="E458" s="27"/>
      <c r="F458" s="27"/>
      <c r="G458" s="27"/>
      <c r="H458" s="27"/>
      <c r="I458" s="27"/>
      <c r="J458" s="27"/>
      <c r="K458" s="27"/>
      <c r="L458" s="27"/>
      <c r="M458" s="27"/>
      <c r="O458" s="27"/>
      <c r="P458" s="27"/>
      <c r="AA458" s="13" t="b">
        <v>0</v>
      </c>
      <c r="AB458" s="13" t="b">
        <v>0</v>
      </c>
      <c r="AC458" s="13" t="b">
        <v>0</v>
      </c>
      <c r="AE458" s="27"/>
      <c r="AF458" s="27" t="str">
        <f>IFERROR(__xludf.DUMMYFUNCTION("""COMPUTED_VALUE"""),"")</f>
        <v/>
      </c>
      <c r="AG458" s="27"/>
      <c r="AH458" s="27"/>
      <c r="AI458" s="27"/>
    </row>
    <row r="459">
      <c r="A459" s="27"/>
      <c r="B459" s="30"/>
      <c r="C459" s="27"/>
      <c r="D459" s="27"/>
      <c r="E459" s="27"/>
      <c r="F459" s="27"/>
      <c r="G459" s="27"/>
      <c r="H459" s="27"/>
      <c r="I459" s="27"/>
      <c r="J459" s="27"/>
      <c r="K459" s="27"/>
      <c r="L459" s="27"/>
      <c r="M459" s="27"/>
      <c r="O459" s="27"/>
      <c r="P459" s="27"/>
      <c r="AA459" s="13" t="b">
        <v>0</v>
      </c>
      <c r="AB459" s="13" t="b">
        <v>0</v>
      </c>
      <c r="AC459" s="13" t="b">
        <v>0</v>
      </c>
      <c r="AE459" s="27"/>
      <c r="AF459" s="27" t="str">
        <f>IFERROR(__xludf.DUMMYFUNCTION("""COMPUTED_VALUE"""),"")</f>
        <v/>
      </c>
      <c r="AG459" s="27"/>
      <c r="AH459" s="27"/>
      <c r="AI459" s="27"/>
    </row>
    <row r="460" collapsed="1">
      <c r="A460" s="27" t="s">
        <v>113</v>
      </c>
      <c r="B460" s="30" t="s">
        <v>1401</v>
      </c>
      <c r="C460" s="27"/>
      <c r="D460" s="27" t="s">
        <v>1402</v>
      </c>
      <c r="E460" s="27" t="s">
        <v>116</v>
      </c>
      <c r="F460" s="27"/>
      <c r="G460" s="27"/>
      <c r="H460" s="27"/>
      <c r="I460" s="27"/>
      <c r="J460" s="27"/>
      <c r="K460" s="27"/>
      <c r="L460" s="27"/>
      <c r="M460" s="27"/>
      <c r="N460" s="13"/>
      <c r="O460" s="27"/>
      <c r="P460" s="27"/>
      <c r="Q460" s="13"/>
      <c r="R460" s="13"/>
      <c r="S460" s="13"/>
      <c r="T460" s="13"/>
      <c r="U460" s="13"/>
      <c r="V460" s="13"/>
      <c r="W460" s="13"/>
      <c r="X460" s="13"/>
      <c r="Y460" s="13"/>
      <c r="Z460" s="13"/>
      <c r="AA460" s="13" t="b">
        <v>0</v>
      </c>
      <c r="AB460" s="13" t="b">
        <v>0</v>
      </c>
      <c r="AC460" s="13" t="b">
        <v>0</v>
      </c>
      <c r="AD460" s="13"/>
      <c r="AE460" s="27"/>
      <c r="AF460" s="27" t="str">
        <f>IFERROR(__xludf.DUMMYFUNCTION("""COMPUTED_VALUE"""),"")</f>
        <v/>
      </c>
      <c r="AG460" s="27"/>
      <c r="AH460" s="27"/>
      <c r="AI460" s="27"/>
    </row>
    <row r="461" hidden="1" outlineLevel="1">
      <c r="A461" s="27" t="s">
        <v>1403</v>
      </c>
      <c r="B461" s="30" t="s">
        <v>1404</v>
      </c>
      <c r="C461" s="27" t="s">
        <v>1405</v>
      </c>
      <c r="D461" s="27"/>
      <c r="E461" s="27"/>
      <c r="F461" s="27"/>
      <c r="G461" s="27" t="s">
        <v>107</v>
      </c>
      <c r="H461" s="27"/>
      <c r="I461" s="27"/>
      <c r="J461" s="27"/>
      <c r="K461" s="27"/>
      <c r="L461" s="27"/>
      <c r="M461" s="27"/>
      <c r="O461" s="27"/>
      <c r="P461" s="27"/>
      <c r="W461" s="13" t="s">
        <v>1406</v>
      </c>
      <c r="Y461" s="13" t="s">
        <v>1406</v>
      </c>
      <c r="Z461" s="13" t="s">
        <v>1407</v>
      </c>
      <c r="AA461" s="13" t="b">
        <v>0</v>
      </c>
      <c r="AB461" s="13" t="b">
        <v>0</v>
      </c>
      <c r="AC461" s="13" t="b">
        <v>0</v>
      </c>
      <c r="AE461" s="27"/>
      <c r="AF461" s="27" t="str">
        <f>IFERROR(__xludf.DUMMYFUNCTION("""COMPUTED_VALUE"""),"quick,likert,map,minimal,search,columns-pack,columns,columns-n,no-buttons,image-map,label,list-nolabel,list")</f>
        <v>quick,likert,map,minimal,search,columns-pack,columns,columns-n,no-buttons,image-map,label,list-nolabel,list</v>
      </c>
      <c r="AG461" s="27"/>
      <c r="AH461" s="27"/>
      <c r="AI461" s="27"/>
    </row>
    <row r="462" hidden="1" outlineLevel="1">
      <c r="A462" s="27" t="s">
        <v>770</v>
      </c>
      <c r="B462" s="30" t="s">
        <v>1408</v>
      </c>
      <c r="C462" s="27" t="s">
        <v>1409</v>
      </c>
      <c r="D462" s="27"/>
      <c r="E462" s="27"/>
      <c r="F462" s="27"/>
      <c r="G462" s="27" t="s">
        <v>107</v>
      </c>
      <c r="H462" s="27"/>
      <c r="I462" s="27"/>
      <c r="J462" s="27"/>
      <c r="K462" s="27"/>
      <c r="L462" s="27"/>
      <c r="M462" s="27"/>
      <c r="O462" s="27"/>
      <c r="P462" s="27"/>
      <c r="W462" s="13" t="s">
        <v>1410</v>
      </c>
      <c r="Y462" s="13" t="s">
        <v>1410</v>
      </c>
      <c r="Z462" s="13" t="s">
        <v>1411</v>
      </c>
      <c r="AA462" s="13" t="b">
        <v>0</v>
      </c>
      <c r="AB462" s="13" t="b">
        <v>0</v>
      </c>
      <c r="AC462" s="13" t="b">
        <v>0</v>
      </c>
      <c r="AE462" s="27"/>
      <c r="AF462" s="27" t="str">
        <f>IFERROR(__xludf.DUMMYFUNCTION("""COMPUTED_VALUE"""),"ex:,thousands-sep,bearing")</f>
        <v>ex:,thousands-sep,bearing</v>
      </c>
      <c r="AG462" s="27"/>
      <c r="AH462" s="27"/>
      <c r="AI462" s="27"/>
    </row>
    <row r="463" hidden="1" outlineLevel="1">
      <c r="A463" s="27" t="s">
        <v>80</v>
      </c>
      <c r="B463" s="30" t="s">
        <v>1412</v>
      </c>
      <c r="C463" s="27"/>
      <c r="D463" s="27"/>
      <c r="E463" s="27"/>
      <c r="F463" s="27" t="s">
        <v>1413</v>
      </c>
      <c r="G463" s="27"/>
      <c r="H463" s="27"/>
      <c r="I463" s="27"/>
      <c r="J463" s="27"/>
      <c r="K463" s="27"/>
      <c r="L463" s="27"/>
      <c r="M463" s="27"/>
      <c r="O463" s="27"/>
      <c r="P463" s="27"/>
      <c r="AA463" s="13" t="b">
        <v>0</v>
      </c>
      <c r="AB463" s="13" t="b">
        <v>0</v>
      </c>
      <c r="AC463" s="13" t="b">
        <v>0</v>
      </c>
      <c r="AE463" s="27"/>
      <c r="AF463" s="27" t="str">
        <f>IFERROR(__xludf.DUMMYFUNCTION("""COMPUTED_VALUE"""),"")</f>
        <v/>
      </c>
      <c r="AG463" s="27"/>
      <c r="AH463" s="27"/>
      <c r="AI463" s="27"/>
    </row>
    <row r="464" hidden="1" outlineLevel="1">
      <c r="A464" s="27" t="s">
        <v>76</v>
      </c>
      <c r="B464" s="30" t="s">
        <v>1414</v>
      </c>
      <c r="C464" s="27" t="s">
        <v>1415</v>
      </c>
      <c r="D464" s="27"/>
      <c r="E464" s="27"/>
      <c r="F464" s="27"/>
      <c r="G464" s="27"/>
      <c r="H464" s="27"/>
      <c r="I464" s="27"/>
      <c r="J464" s="27"/>
      <c r="K464" s="27"/>
      <c r="L464" s="27"/>
      <c r="M464" s="27"/>
      <c r="O464" s="27"/>
      <c r="P464" s="27"/>
      <c r="W464" s="13" t="s">
        <v>1415</v>
      </c>
      <c r="Y464" s="13" t="s">
        <v>1415</v>
      </c>
      <c r="AA464" s="13" t="b">
        <v>0</v>
      </c>
      <c r="AB464" s="13" t="b">
        <v>0</v>
      </c>
      <c r="AC464" s="13" t="b">
        <v>0</v>
      </c>
      <c r="AE464" s="27"/>
      <c r="AF464" s="27" t="str">
        <f>IFERROR(__xludf.DUMMYFUNCTION("""COMPUTED_VALUE"""),"")</f>
        <v/>
      </c>
      <c r="AG464" s="27"/>
      <c r="AH464" s="27"/>
      <c r="AI464" s="27"/>
    </row>
    <row r="465" hidden="1" outlineLevel="1">
      <c r="A465" s="27" t="s">
        <v>231</v>
      </c>
      <c r="B465" s="30" t="s">
        <v>1416</v>
      </c>
      <c r="C465" s="27" t="s">
        <v>1417</v>
      </c>
      <c r="D465" s="27"/>
      <c r="E465" s="27"/>
      <c r="F465" s="27"/>
      <c r="G465" s="27" t="s">
        <v>107</v>
      </c>
      <c r="H465" s="27"/>
      <c r="I465" s="27"/>
      <c r="J465" s="27"/>
      <c r="K465" s="27"/>
      <c r="L465" s="27" t="s">
        <v>236</v>
      </c>
      <c r="M465" s="27"/>
      <c r="O465" s="27"/>
      <c r="P465" s="27"/>
      <c r="W465" s="13" t="s">
        <v>1418</v>
      </c>
      <c r="Y465" s="13" t="s">
        <v>1418</v>
      </c>
      <c r="Z465" s="13" t="s">
        <v>1419</v>
      </c>
      <c r="AA465" s="13" t="b">
        <v>0</v>
      </c>
      <c r="AB465" s="13" t="b">
        <v>0</v>
      </c>
      <c r="AC465" s="13" t="b">
        <v>0</v>
      </c>
      <c r="AE465" s="27"/>
      <c r="AF465" s="27" t="str">
        <f>IFERROR(__xludf.DUMMYFUNCTION("""COMPUTED_VALUE"""),"")</f>
        <v/>
      </c>
      <c r="AG465" s="27"/>
      <c r="AH465" s="27"/>
      <c r="AI465" s="27"/>
    </row>
    <row r="466">
      <c r="A466" s="27" t="s">
        <v>283</v>
      </c>
      <c r="B466" s="30"/>
      <c r="C466" s="27"/>
      <c r="D466" s="27"/>
      <c r="E466" s="27"/>
      <c r="F466" s="27"/>
      <c r="G466" s="27"/>
      <c r="H466" s="27"/>
      <c r="I466" s="27"/>
      <c r="J466" s="27"/>
      <c r="K466" s="27"/>
      <c r="L466" s="27"/>
      <c r="M466" s="27"/>
      <c r="N466" s="13"/>
      <c r="O466" s="27"/>
      <c r="P466" s="27"/>
      <c r="Q466" s="13"/>
      <c r="R466" s="13"/>
      <c r="S466" s="13"/>
      <c r="T466" s="13"/>
      <c r="U466" s="13"/>
      <c r="V466" s="13"/>
      <c r="W466" s="13"/>
      <c r="X466" s="13"/>
      <c r="Y466" s="13"/>
      <c r="Z466" s="13"/>
      <c r="AA466" s="13" t="b">
        <v>0</v>
      </c>
      <c r="AB466" s="13" t="b">
        <v>0</v>
      </c>
      <c r="AC466" s="13" t="b">
        <v>0</v>
      </c>
      <c r="AD466" s="13"/>
      <c r="AE466" s="27"/>
      <c r="AF466" s="27" t="str">
        <f>IFERROR(__xludf.DUMMYFUNCTION("""COMPUTED_VALUE"""),"")</f>
        <v/>
      </c>
      <c r="AG466" s="27"/>
      <c r="AH466" s="27"/>
      <c r="AI466" s="27"/>
    </row>
    <row r="467">
      <c r="A467" s="27"/>
      <c r="B467" s="30"/>
      <c r="C467" s="27"/>
      <c r="D467" s="27"/>
      <c r="E467" s="27"/>
      <c r="F467" s="27"/>
      <c r="G467" s="27"/>
      <c r="H467" s="27"/>
      <c r="I467" s="27"/>
      <c r="J467" s="27"/>
      <c r="K467" s="27"/>
      <c r="L467" s="27"/>
      <c r="M467" s="27"/>
      <c r="O467" s="27"/>
      <c r="P467" s="27"/>
      <c r="AA467" s="13" t="b">
        <v>0</v>
      </c>
      <c r="AB467" s="13" t="b">
        <v>0</v>
      </c>
      <c r="AC467" s="13" t="b">
        <v>0</v>
      </c>
      <c r="AE467" s="27"/>
      <c r="AF467" s="27" t="str">
        <f>IFERROR(__xludf.DUMMYFUNCTION("""COMPUTED_VALUE"""),"")</f>
        <v/>
      </c>
      <c r="AG467" s="27"/>
      <c r="AH467" s="27"/>
      <c r="AI467" s="27"/>
    </row>
    <row r="468">
      <c r="A468" s="27"/>
      <c r="B468" s="30"/>
      <c r="C468" s="27"/>
      <c r="D468" s="27"/>
      <c r="E468" s="27"/>
      <c r="F468" s="27"/>
      <c r="G468" s="27"/>
      <c r="H468" s="27"/>
      <c r="I468" s="27"/>
      <c r="J468" s="27"/>
      <c r="K468" s="27"/>
      <c r="L468" s="27"/>
      <c r="M468" s="27"/>
      <c r="O468" s="27"/>
      <c r="P468" s="27"/>
      <c r="AA468" s="13" t="b">
        <v>0</v>
      </c>
      <c r="AB468" s="13" t="b">
        <v>0</v>
      </c>
      <c r="AC468" s="13" t="b">
        <v>0</v>
      </c>
      <c r="AE468" s="27"/>
      <c r="AF468" s="27" t="str">
        <f>IFERROR(__xludf.DUMMYFUNCTION("""COMPUTED_VALUE"""),"")</f>
        <v/>
      </c>
      <c r="AG468" s="27"/>
      <c r="AH468" s="27"/>
      <c r="AI468" s="27"/>
    </row>
    <row r="469">
      <c r="A469" s="27" t="s">
        <v>1420</v>
      </c>
      <c r="B469" s="30" t="s">
        <v>1421</v>
      </c>
      <c r="C469" s="27" t="s">
        <v>1422</v>
      </c>
      <c r="D469" s="27" t="s">
        <v>1423</v>
      </c>
      <c r="E469" s="27" t="s">
        <v>106</v>
      </c>
      <c r="F469" s="27"/>
      <c r="G469" s="27"/>
      <c r="H469" s="27"/>
      <c r="I469" s="27"/>
      <c r="J469" s="27"/>
      <c r="K469" s="27"/>
      <c r="L469" s="27"/>
      <c r="M469" s="27"/>
      <c r="O469" s="27"/>
      <c r="P469" s="27"/>
      <c r="W469" s="13" t="s">
        <v>1424</v>
      </c>
      <c r="Y469" s="13" t="s">
        <v>1424</v>
      </c>
      <c r="Z469" s="13" t="s">
        <v>1425</v>
      </c>
      <c r="AA469" s="13" t="b">
        <v>0</v>
      </c>
      <c r="AB469" s="13" t="b">
        <v>0</v>
      </c>
      <c r="AC469" s="13" t="b">
        <v>0</v>
      </c>
      <c r="AE469" s="27"/>
      <c r="AF469" s="27" t="str">
        <f>IFERROR(__xludf.DUMMYFUNCTION("""COMPUTED_VALUE"""),"quick,likert,map,minimal,search,columns-pack,columns,columns-n,no-buttons,image-map,label,list-nolabel,list")</f>
        <v>quick,likert,map,minimal,search,columns-pack,columns,columns-n,no-buttons,image-map,label,list-nolabel,list</v>
      </c>
      <c r="AG469" s="27"/>
      <c r="AH469" s="27"/>
      <c r="AI469" s="27"/>
    </row>
    <row r="470">
      <c r="A470" s="27"/>
      <c r="B470" s="30"/>
      <c r="C470" s="27"/>
      <c r="D470" s="27"/>
      <c r="E470" s="27"/>
      <c r="F470" s="27"/>
      <c r="G470" s="27"/>
      <c r="H470" s="27"/>
      <c r="I470" s="27"/>
      <c r="J470" s="27"/>
      <c r="K470" s="27"/>
      <c r="L470" s="27"/>
      <c r="M470" s="27"/>
      <c r="O470" s="27"/>
      <c r="P470" s="27"/>
      <c r="AA470" s="13" t="b">
        <v>0</v>
      </c>
      <c r="AB470" s="13" t="b">
        <v>0</v>
      </c>
      <c r="AC470" s="13" t="b">
        <v>0</v>
      </c>
      <c r="AE470" s="27"/>
      <c r="AF470" s="27" t="str">
        <f>IFERROR(__xludf.DUMMYFUNCTION("""COMPUTED_VALUE"""),"")</f>
        <v/>
      </c>
      <c r="AG470" s="27"/>
      <c r="AH470" s="27"/>
      <c r="AI470" s="27"/>
    </row>
    <row r="471" collapsed="1">
      <c r="A471" s="27" t="s">
        <v>113</v>
      </c>
      <c r="B471" s="30" t="s">
        <v>1426</v>
      </c>
      <c r="C471" s="27"/>
      <c r="D471" s="27" t="s">
        <v>1427</v>
      </c>
      <c r="E471" s="27" t="s">
        <v>116</v>
      </c>
      <c r="F471" s="27"/>
      <c r="G471" s="27"/>
      <c r="H471" s="27"/>
      <c r="I471" s="27"/>
      <c r="J471" s="27"/>
      <c r="K471" s="27"/>
      <c r="L471" s="27"/>
      <c r="M471" s="27"/>
      <c r="N471" s="13"/>
      <c r="O471" s="27"/>
      <c r="P471" s="27"/>
      <c r="Q471" s="13"/>
      <c r="R471" s="13"/>
      <c r="S471" s="13"/>
      <c r="T471" s="13"/>
      <c r="U471" s="13"/>
      <c r="V471" s="13"/>
      <c r="W471" s="13"/>
      <c r="X471" s="13"/>
      <c r="Y471" s="13" t="s">
        <v>45</v>
      </c>
      <c r="Z471" s="13"/>
      <c r="AA471" s="13" t="b">
        <v>0</v>
      </c>
      <c r="AB471" s="13" t="b">
        <v>0</v>
      </c>
      <c r="AC471" s="13" t="b">
        <v>0</v>
      </c>
      <c r="AD471" s="13"/>
      <c r="AE471" s="27"/>
      <c r="AF471" s="27" t="str">
        <f>IFERROR(__xludf.DUMMYFUNCTION("""COMPUTED_VALUE"""),"")</f>
        <v/>
      </c>
      <c r="AG471" s="27"/>
      <c r="AH471" s="27"/>
      <c r="AI471" s="27"/>
    </row>
    <row r="472" hidden="1" outlineLevel="1">
      <c r="A472" s="27" t="s">
        <v>341</v>
      </c>
      <c r="B472" s="30" t="s">
        <v>1428</v>
      </c>
      <c r="C472" s="27" t="s">
        <v>1429</v>
      </c>
      <c r="D472" s="27"/>
      <c r="E472" s="27"/>
      <c r="F472" s="27"/>
      <c r="G472" s="27" t="s">
        <v>107</v>
      </c>
      <c r="H472" s="27" t="s">
        <v>393</v>
      </c>
      <c r="I472" s="27"/>
      <c r="J472" s="27" t="s">
        <v>82</v>
      </c>
      <c r="K472" s="27"/>
      <c r="L472" s="27"/>
      <c r="M472" s="27"/>
      <c r="O472" s="27"/>
      <c r="P472" s="27"/>
      <c r="W472" s="13" t="s">
        <v>1430</v>
      </c>
      <c r="Y472" s="13" t="s">
        <v>1430</v>
      </c>
      <c r="AA472" s="13" t="b">
        <v>0</v>
      </c>
      <c r="AB472" s="13" t="b">
        <v>0</v>
      </c>
      <c r="AC472" s="13" t="b">
        <v>0</v>
      </c>
      <c r="AE472" s="27"/>
      <c r="AF472" s="27" t="str">
        <f>IFERROR(__xludf.DUMMYFUNCTION("""COMPUTED_VALUE"""),"no-calendar,month-year,year,ethiopian,coptic,islamic,bikram-sambat,myanmar,persian")</f>
        <v>no-calendar,month-year,year,ethiopian,coptic,islamic,bikram-sambat,myanmar,persian</v>
      </c>
      <c r="AG472" s="27"/>
      <c r="AH472" s="27"/>
      <c r="AI472" s="27"/>
    </row>
    <row r="473" hidden="1" outlineLevel="1">
      <c r="A473" s="27" t="s">
        <v>1431</v>
      </c>
      <c r="B473" s="30" t="s">
        <v>1432</v>
      </c>
      <c r="C473" s="27" t="s">
        <v>1433</v>
      </c>
      <c r="D473" s="27"/>
      <c r="E473" s="27"/>
      <c r="F473" s="27"/>
      <c r="G473" s="27" t="s">
        <v>107</v>
      </c>
      <c r="H473" s="27"/>
      <c r="I473" s="27"/>
      <c r="J473" s="27"/>
      <c r="K473" s="27"/>
      <c r="L473" s="27"/>
      <c r="M473" s="27"/>
      <c r="O473" s="27"/>
      <c r="P473" s="27"/>
      <c r="W473" s="13" t="s">
        <v>1434</v>
      </c>
      <c r="Y473" s="13" t="s">
        <v>1434</v>
      </c>
      <c r="AA473" s="13" t="b">
        <v>0</v>
      </c>
      <c r="AB473" s="13" t="b">
        <v>0</v>
      </c>
      <c r="AC473" s="13" t="b">
        <v>0</v>
      </c>
      <c r="AE473" s="27"/>
      <c r="AF473" s="27" t="str">
        <f>IFERROR(__xludf.DUMMYFUNCTION("""COMPUTED_VALUE"""),"quick,likert,map,minimal,search,columns-pack,columns,columns-n,no-buttons,image-map,label,list-nolabel,list")</f>
        <v>quick,likert,map,minimal,search,columns-pack,columns,columns-n,no-buttons,image-map,label,list-nolabel,list</v>
      </c>
      <c r="AG473" s="27"/>
      <c r="AH473" s="27"/>
      <c r="AI473" s="27"/>
    </row>
    <row r="474" hidden="1" outlineLevel="1">
      <c r="A474" s="27" t="s">
        <v>1435</v>
      </c>
      <c r="B474" s="30" t="s">
        <v>1436</v>
      </c>
      <c r="C474" s="27" t="s">
        <v>1437</v>
      </c>
      <c r="D474" s="27"/>
      <c r="E474" s="27"/>
      <c r="F474" s="27"/>
      <c r="G474" s="27" t="s">
        <v>107</v>
      </c>
      <c r="H474" s="27"/>
      <c r="I474" s="27"/>
      <c r="J474" s="27"/>
      <c r="K474" s="27"/>
      <c r="L474" s="27"/>
      <c r="M474" s="27"/>
      <c r="O474" s="27"/>
      <c r="P474" s="27"/>
      <c r="W474" s="13" t="s">
        <v>1438</v>
      </c>
      <c r="Y474" s="13" t="s">
        <v>1438</v>
      </c>
      <c r="AA474" s="13" t="b">
        <v>0</v>
      </c>
      <c r="AB474" s="13" t="b">
        <v>0</v>
      </c>
      <c r="AC474" s="13" t="b">
        <v>0</v>
      </c>
      <c r="AE474" s="27"/>
      <c r="AF474" s="27" t="str">
        <f>IFERROR(__xludf.DUMMYFUNCTION("""COMPUTED_VALUE"""),"quick,likert,map,minimal,search,columns-pack,columns,columns-n,no-buttons,image-map,label,list-nolabel,list")</f>
        <v>quick,likert,map,minimal,search,columns-pack,columns,columns-n,no-buttons,image-map,label,list-nolabel,list</v>
      </c>
      <c r="AG474" s="27"/>
      <c r="AH474" s="27"/>
      <c r="AI474" s="27"/>
    </row>
    <row r="475" hidden="1" outlineLevel="1">
      <c r="A475" s="27" t="s">
        <v>1439</v>
      </c>
      <c r="B475" s="30" t="s">
        <v>1440</v>
      </c>
      <c r="C475" s="27" t="s">
        <v>1441</v>
      </c>
      <c r="D475" s="27"/>
      <c r="E475" s="27"/>
      <c r="F475" s="27"/>
      <c r="G475" s="27"/>
      <c r="H475" s="27" t="s">
        <v>1442</v>
      </c>
      <c r="I475" s="27"/>
      <c r="J475" s="27"/>
      <c r="K475" s="27"/>
      <c r="L475" s="27"/>
      <c r="M475" s="27"/>
      <c r="O475" s="27"/>
      <c r="P475" s="27"/>
      <c r="W475" s="13" t="s">
        <v>1443</v>
      </c>
      <c r="Y475" s="13" t="s">
        <v>1443</v>
      </c>
      <c r="AA475" s="13" t="b">
        <v>0</v>
      </c>
      <c r="AB475" s="13" t="b">
        <v>0</v>
      </c>
      <c r="AC475" s="13" t="b">
        <v>0</v>
      </c>
      <c r="AE475" s="27"/>
      <c r="AF475" s="27" t="str">
        <f>IFERROR(__xludf.DUMMYFUNCTION("""COMPUTED_VALUE"""),"no-calendar")</f>
        <v>no-calendar</v>
      </c>
      <c r="AG475" s="27"/>
      <c r="AH475" s="27"/>
      <c r="AI475" s="27"/>
    </row>
    <row r="476" hidden="1" outlineLevel="1">
      <c r="A476" s="27" t="s">
        <v>1439</v>
      </c>
      <c r="B476" s="30" t="s">
        <v>1444</v>
      </c>
      <c r="C476" s="27" t="s">
        <v>1445</v>
      </c>
      <c r="D476" s="27"/>
      <c r="E476" s="27"/>
      <c r="F476" s="27"/>
      <c r="G476" s="27"/>
      <c r="H476" s="27" t="s">
        <v>1446</v>
      </c>
      <c r="I476" s="27"/>
      <c r="J476" s="27" t="s">
        <v>1447</v>
      </c>
      <c r="K476" s="27"/>
      <c r="L476" s="27"/>
      <c r="M476" s="27"/>
      <c r="O476" s="27"/>
      <c r="P476" s="27"/>
      <c r="W476" s="13" t="s">
        <v>1448</v>
      </c>
      <c r="Y476" s="13" t="s">
        <v>1448</v>
      </c>
      <c r="AA476" s="13" t="b">
        <v>0</v>
      </c>
      <c r="AB476" s="13" t="b">
        <v>0</v>
      </c>
      <c r="AC476" s="13" t="b">
        <v>0</v>
      </c>
      <c r="AE476" s="27"/>
      <c r="AF476" s="27" t="str">
        <f>IFERROR(__xludf.DUMMYFUNCTION("""COMPUTED_VALUE"""),"no-calendar")</f>
        <v>no-calendar</v>
      </c>
      <c r="AG476" s="27"/>
      <c r="AH476" s="27"/>
      <c r="AI476" s="27"/>
    </row>
    <row r="477">
      <c r="A477" s="27" t="s">
        <v>283</v>
      </c>
      <c r="B477" s="30"/>
      <c r="C477" s="27"/>
      <c r="D477" s="27"/>
      <c r="E477" s="27"/>
      <c r="F477" s="27"/>
      <c r="G477" s="27"/>
      <c r="H477" s="27"/>
      <c r="I477" s="27"/>
      <c r="J477" s="27"/>
      <c r="K477" s="27"/>
      <c r="L477" s="27"/>
      <c r="M477" s="27"/>
      <c r="N477" s="13"/>
      <c r="O477" s="27"/>
      <c r="P477" s="27"/>
      <c r="Q477" s="13"/>
      <c r="R477" s="13"/>
      <c r="S477" s="13"/>
      <c r="T477" s="13"/>
      <c r="U477" s="13"/>
      <c r="V477" s="13"/>
      <c r="W477" s="13"/>
      <c r="X477" s="13"/>
      <c r="Y477" s="13" t="s">
        <v>45</v>
      </c>
      <c r="Z477" s="13"/>
      <c r="AA477" s="13" t="b">
        <v>0</v>
      </c>
      <c r="AB477" s="13" t="b">
        <v>0</v>
      </c>
      <c r="AC477" s="13" t="b">
        <v>0</v>
      </c>
      <c r="AD477" s="13"/>
      <c r="AE477" s="27"/>
      <c r="AF477" s="27" t="str">
        <f>IFERROR(__xludf.DUMMYFUNCTION("""COMPUTED_VALUE"""),"")</f>
        <v/>
      </c>
      <c r="AG477" s="27"/>
      <c r="AH477" s="27"/>
      <c r="AI477" s="27"/>
    </row>
    <row r="478">
      <c r="A478" s="27"/>
      <c r="B478" s="30"/>
      <c r="C478" s="27"/>
      <c r="D478" s="27"/>
      <c r="E478" s="27"/>
      <c r="F478" s="27"/>
      <c r="G478" s="27"/>
      <c r="H478" s="27"/>
      <c r="I478" s="27"/>
      <c r="J478" s="27"/>
      <c r="K478" s="27"/>
      <c r="L478" s="27"/>
      <c r="M478" s="27"/>
      <c r="O478" s="27"/>
      <c r="P478" s="27"/>
      <c r="Y478" s="13" t="s">
        <v>45</v>
      </c>
      <c r="AA478" s="13" t="b">
        <v>0</v>
      </c>
      <c r="AB478" s="13" t="b">
        <v>0</v>
      </c>
      <c r="AC478" s="13" t="b">
        <v>0</v>
      </c>
      <c r="AE478" s="27"/>
      <c r="AF478" s="27" t="str">
        <f>IFERROR(__xludf.DUMMYFUNCTION("""COMPUTED_VALUE"""),"")</f>
        <v/>
      </c>
      <c r="AG478" s="27"/>
      <c r="AH478" s="27"/>
      <c r="AI478" s="27"/>
    </row>
    <row r="479" collapsed="1">
      <c r="A479" s="27" t="s">
        <v>113</v>
      </c>
      <c r="B479" s="30" t="s">
        <v>1449</v>
      </c>
      <c r="C479" s="27"/>
      <c r="D479" s="27" t="s">
        <v>1450</v>
      </c>
      <c r="E479" s="27" t="s">
        <v>116</v>
      </c>
      <c r="F479" s="27"/>
      <c r="G479" s="27"/>
      <c r="H479" s="27"/>
      <c r="I479" s="27"/>
      <c r="J479" s="27"/>
      <c r="K479" s="27"/>
      <c r="L479" s="27"/>
      <c r="M479" s="27"/>
      <c r="N479" s="13"/>
      <c r="O479" s="27"/>
      <c r="P479" s="27"/>
      <c r="Q479" s="13"/>
      <c r="R479" s="13"/>
      <c r="S479" s="13"/>
      <c r="T479" s="13"/>
      <c r="U479" s="13"/>
      <c r="V479" s="13"/>
      <c r="W479" s="13"/>
      <c r="X479" s="13"/>
      <c r="Y479" s="13" t="s">
        <v>45</v>
      </c>
      <c r="Z479" s="13"/>
      <c r="AA479" s="13" t="b">
        <v>0</v>
      </c>
      <c r="AB479" s="13" t="b">
        <v>0</v>
      </c>
      <c r="AC479" s="13" t="b">
        <v>0</v>
      </c>
      <c r="AD479" s="13"/>
      <c r="AE479" s="27"/>
      <c r="AF479" s="27" t="str">
        <f>IFERROR(__xludf.DUMMYFUNCTION("""COMPUTED_VALUE"""),"")</f>
        <v/>
      </c>
      <c r="AG479" s="27"/>
      <c r="AH479" s="27"/>
      <c r="AI479" s="27"/>
    </row>
    <row r="480" hidden="1" outlineLevel="1">
      <c r="A480" s="27" t="s">
        <v>1439</v>
      </c>
      <c r="B480" s="30" t="s">
        <v>1451</v>
      </c>
      <c r="C480" s="27" t="s">
        <v>1452</v>
      </c>
      <c r="D480" s="27"/>
      <c r="E480" s="27"/>
      <c r="F480" s="27"/>
      <c r="G480" s="27" t="s">
        <v>107</v>
      </c>
      <c r="H480" s="27" t="s">
        <v>393</v>
      </c>
      <c r="I480" s="27"/>
      <c r="J480" s="27" t="s">
        <v>1447</v>
      </c>
      <c r="K480" s="27"/>
      <c r="L480" s="27"/>
      <c r="M480" s="27"/>
      <c r="O480" s="27"/>
      <c r="P480" s="27"/>
      <c r="W480" s="13" t="s">
        <v>1453</v>
      </c>
      <c r="Y480" s="13" t="s">
        <v>1453</v>
      </c>
      <c r="AA480" s="13" t="b">
        <v>0</v>
      </c>
      <c r="AB480" s="13" t="b">
        <v>0</v>
      </c>
      <c r="AC480" s="13" t="b">
        <v>0</v>
      </c>
      <c r="AE480" s="27"/>
      <c r="AF480" s="27" t="str">
        <f>IFERROR(__xludf.DUMMYFUNCTION("""COMPUTED_VALUE"""),"no-calendar")</f>
        <v>no-calendar</v>
      </c>
      <c r="AG480" s="27"/>
      <c r="AH480" s="27"/>
      <c r="AI480" s="27"/>
    </row>
    <row r="481" hidden="1" outlineLevel="1">
      <c r="A481" s="27" t="s">
        <v>1431</v>
      </c>
      <c r="B481" s="30" t="s">
        <v>1454</v>
      </c>
      <c r="C481" s="27" t="s">
        <v>1455</v>
      </c>
      <c r="D481" s="27"/>
      <c r="E481" s="27"/>
      <c r="F481" s="27"/>
      <c r="G481" s="27" t="s">
        <v>107</v>
      </c>
      <c r="H481" s="27"/>
      <c r="I481" s="27"/>
      <c r="J481" s="27"/>
      <c r="K481" s="27"/>
      <c r="L481" s="27"/>
      <c r="M481" s="27"/>
      <c r="O481" s="27"/>
      <c r="P481" s="27"/>
      <c r="W481" s="13" t="s">
        <v>1456</v>
      </c>
      <c r="Y481" s="13" t="s">
        <v>1456</v>
      </c>
      <c r="AA481" s="13" t="b">
        <v>0</v>
      </c>
      <c r="AB481" s="13" t="b">
        <v>0</v>
      </c>
      <c r="AC481" s="13" t="b">
        <v>0</v>
      </c>
      <c r="AE481" s="27"/>
      <c r="AF481" s="27" t="str">
        <f>IFERROR(__xludf.DUMMYFUNCTION("""COMPUTED_VALUE"""),"quick,likert,map,minimal,search,columns-pack,columns,columns-n,no-buttons,image-map,label,list-nolabel,list")</f>
        <v>quick,likert,map,minimal,search,columns-pack,columns,columns-n,no-buttons,image-map,label,list-nolabel,list</v>
      </c>
      <c r="AG481" s="27"/>
      <c r="AH481" s="27"/>
      <c r="AI481" s="27"/>
    </row>
    <row r="482" hidden="1" outlineLevel="1">
      <c r="A482" s="27" t="s">
        <v>1457</v>
      </c>
      <c r="B482" s="30" t="s">
        <v>1458</v>
      </c>
      <c r="C482" s="27" t="s">
        <v>1459</v>
      </c>
      <c r="D482" s="27"/>
      <c r="E482" s="27"/>
      <c r="F482" s="27"/>
      <c r="G482" s="27" t="s">
        <v>107</v>
      </c>
      <c r="H482" s="27"/>
      <c r="I482" s="27"/>
      <c r="J482" s="27"/>
      <c r="K482" s="27"/>
      <c r="L482" s="27"/>
      <c r="M482" s="27"/>
      <c r="O482" s="27"/>
      <c r="P482" s="27"/>
      <c r="W482" s="13" t="s">
        <v>1460</v>
      </c>
      <c r="Y482" s="13" t="s">
        <v>1460</v>
      </c>
      <c r="AA482" s="13" t="b">
        <v>0</v>
      </c>
      <c r="AB482" s="13" t="b">
        <v>0</v>
      </c>
      <c r="AC482" s="13" t="b">
        <v>0</v>
      </c>
      <c r="AE482" s="27"/>
      <c r="AF482" s="27" t="str">
        <f>IFERROR(__xludf.DUMMYFUNCTION("""COMPUTED_VALUE"""),"quick,likert,map,minimal,search,columns-pack,columns,columns-n,no-buttons,image-map,label,list-nolabel,list")</f>
        <v>quick,likert,map,minimal,search,columns-pack,columns,columns-n,no-buttons,image-map,label,list-nolabel,list</v>
      </c>
      <c r="AG482" s="27"/>
      <c r="AH482" s="27"/>
      <c r="AI482" s="27"/>
    </row>
    <row r="483" hidden="1" outlineLevel="1">
      <c r="A483" s="27" t="s">
        <v>231</v>
      </c>
      <c r="B483" s="30" t="s">
        <v>1461</v>
      </c>
      <c r="C483" s="27" t="s">
        <v>1462</v>
      </c>
      <c r="D483" s="27"/>
      <c r="E483" s="27"/>
      <c r="F483" s="27"/>
      <c r="G483" s="27"/>
      <c r="H483" s="27"/>
      <c r="I483" s="27"/>
      <c r="J483" s="27"/>
      <c r="K483" s="27"/>
      <c r="L483" s="27" t="s">
        <v>308</v>
      </c>
      <c r="M483" s="27"/>
      <c r="O483" s="27"/>
      <c r="P483" s="27"/>
      <c r="V483" s="13" t="s">
        <v>310</v>
      </c>
      <c r="W483" s="13" t="s">
        <v>1463</v>
      </c>
      <c r="Y483" s="13" t="s">
        <v>1463</v>
      </c>
      <c r="AA483" s="13" t="b">
        <v>0</v>
      </c>
      <c r="AB483" s="13" t="b">
        <v>0</v>
      </c>
      <c r="AC483" s="13" t="b">
        <v>0</v>
      </c>
      <c r="AE483" s="27"/>
      <c r="AF483" s="27" t="str">
        <f>IFERROR(__xludf.DUMMYFUNCTION("""COMPUTED_VALUE"""),"")</f>
        <v/>
      </c>
      <c r="AG483" s="27"/>
      <c r="AH483" s="27"/>
      <c r="AI483" s="27"/>
    </row>
    <row r="484" hidden="1" outlineLevel="1">
      <c r="A484" s="27" t="s">
        <v>78</v>
      </c>
      <c r="B484" s="30" t="s">
        <v>1464</v>
      </c>
      <c r="C484" s="27" t="s">
        <v>1465</v>
      </c>
      <c r="D484" s="27"/>
      <c r="E484" s="27"/>
      <c r="F484" s="27"/>
      <c r="G484" s="27"/>
      <c r="H484" s="27"/>
      <c r="I484" s="27"/>
      <c r="J484" s="27"/>
      <c r="K484" s="27"/>
      <c r="L484" s="27"/>
      <c r="M484" s="27"/>
      <c r="O484" s="27"/>
      <c r="P484" s="27"/>
      <c r="W484" s="13" t="s">
        <v>1466</v>
      </c>
      <c r="Y484" s="13" t="s">
        <v>1466</v>
      </c>
      <c r="AA484" s="13" t="b">
        <v>0</v>
      </c>
      <c r="AB484" s="13" t="b">
        <v>0</v>
      </c>
      <c r="AC484" s="13" t="b">
        <v>0</v>
      </c>
      <c r="AE484" s="27"/>
      <c r="AF484" s="27" t="str">
        <f>IFERROR(__xludf.DUMMYFUNCTION("""COMPUTED_VALUE"""),"ex:,new")</f>
        <v>ex:,new</v>
      </c>
      <c r="AG484" s="27"/>
      <c r="AH484" s="27"/>
      <c r="AI484" s="27"/>
    </row>
    <row r="485">
      <c r="A485" s="27" t="s">
        <v>283</v>
      </c>
      <c r="B485" s="30"/>
      <c r="C485" s="27"/>
      <c r="D485" s="27"/>
      <c r="E485" s="27"/>
      <c r="F485" s="27"/>
      <c r="G485" s="27"/>
      <c r="H485" s="27"/>
      <c r="I485" s="27"/>
      <c r="J485" s="27"/>
      <c r="K485" s="27"/>
      <c r="L485" s="27"/>
      <c r="M485" s="27"/>
      <c r="N485" s="13"/>
      <c r="O485" s="27"/>
      <c r="P485" s="27"/>
      <c r="Q485" s="13"/>
      <c r="R485" s="13"/>
      <c r="S485" s="13"/>
      <c r="T485" s="13"/>
      <c r="U485" s="13"/>
      <c r="V485" s="13"/>
      <c r="W485" s="13"/>
      <c r="X485" s="13"/>
      <c r="Y485" s="13" t="s">
        <v>45</v>
      </c>
      <c r="Z485" s="13"/>
      <c r="AA485" s="13" t="b">
        <v>0</v>
      </c>
      <c r="AB485" s="13" t="b">
        <v>0</v>
      </c>
      <c r="AC485" s="13" t="b">
        <v>0</v>
      </c>
      <c r="AD485" s="13"/>
      <c r="AE485" s="27"/>
      <c r="AF485" s="27" t="str">
        <f>IFERROR(__xludf.DUMMYFUNCTION("""COMPUTED_VALUE"""),"")</f>
        <v/>
      </c>
      <c r="AG485" s="27"/>
      <c r="AH485" s="27"/>
      <c r="AI485" s="27"/>
    </row>
    <row r="486">
      <c r="A486" s="27"/>
      <c r="B486" s="30"/>
      <c r="C486" s="27"/>
      <c r="D486" s="27"/>
      <c r="E486" s="27"/>
      <c r="F486" s="27"/>
      <c r="G486" s="27"/>
      <c r="H486" s="27"/>
      <c r="I486" s="27"/>
      <c r="J486" s="27"/>
      <c r="K486" s="27"/>
      <c r="L486" s="27"/>
      <c r="M486" s="27"/>
      <c r="O486" s="27"/>
      <c r="P486" s="27"/>
      <c r="Y486" s="13" t="s">
        <v>45</v>
      </c>
      <c r="AA486" s="13" t="b">
        <v>0</v>
      </c>
      <c r="AB486" s="13" t="b">
        <v>0</v>
      </c>
      <c r="AC486" s="13" t="b">
        <v>0</v>
      </c>
      <c r="AE486" s="27"/>
      <c r="AF486" s="27" t="str">
        <f>IFERROR(__xludf.DUMMYFUNCTION("""COMPUTED_VALUE"""),"")</f>
        <v/>
      </c>
      <c r="AG486" s="27"/>
      <c r="AH486" s="27"/>
      <c r="AI486" s="27"/>
    </row>
    <row r="487" collapsed="1">
      <c r="A487" s="27" t="s">
        <v>113</v>
      </c>
      <c r="B487" s="30" t="s">
        <v>1467</v>
      </c>
      <c r="C487" s="27"/>
      <c r="D487" s="27" t="s">
        <v>1468</v>
      </c>
      <c r="E487" s="27" t="s">
        <v>116</v>
      </c>
      <c r="F487" s="27"/>
      <c r="G487" s="27"/>
      <c r="H487" s="27"/>
      <c r="I487" s="27"/>
      <c r="J487" s="27"/>
      <c r="K487" s="27"/>
      <c r="L487" s="27"/>
      <c r="M487" s="27"/>
      <c r="N487" s="13"/>
      <c r="O487" s="27"/>
      <c r="P487" s="27"/>
      <c r="Q487" s="13"/>
      <c r="R487" s="13"/>
      <c r="S487" s="13"/>
      <c r="T487" s="13"/>
      <c r="U487" s="13"/>
      <c r="V487" s="13"/>
      <c r="W487" s="13"/>
      <c r="X487" s="13"/>
      <c r="Y487" s="13" t="s">
        <v>45</v>
      </c>
      <c r="Z487" s="13"/>
      <c r="AA487" s="13" t="b">
        <v>0</v>
      </c>
      <c r="AB487" s="13" t="b">
        <v>0</v>
      </c>
      <c r="AC487" s="13" t="b">
        <v>0</v>
      </c>
      <c r="AD487" s="13"/>
      <c r="AE487" s="27"/>
      <c r="AF487" s="27" t="str">
        <f>IFERROR(__xludf.DUMMYFUNCTION("""COMPUTED_VALUE"""),"")</f>
        <v/>
      </c>
      <c r="AG487" s="27"/>
      <c r="AH487" s="27"/>
      <c r="AI487" s="27"/>
    </row>
    <row r="488" hidden="1" outlineLevel="1">
      <c r="A488" s="27" t="s">
        <v>1439</v>
      </c>
      <c r="B488" s="30" t="s">
        <v>1469</v>
      </c>
      <c r="C488" s="27" t="s">
        <v>1470</v>
      </c>
      <c r="D488" s="27"/>
      <c r="E488" s="27"/>
      <c r="F488" s="27"/>
      <c r="G488" s="27" t="s">
        <v>107</v>
      </c>
      <c r="H488" s="27" t="s">
        <v>1471</v>
      </c>
      <c r="I488" s="27"/>
      <c r="J488" s="27"/>
      <c r="K488" s="27"/>
      <c r="L488" s="27"/>
      <c r="M488" s="27"/>
      <c r="O488" s="27"/>
      <c r="P488" s="27"/>
      <c r="W488" s="13" t="s">
        <v>1472</v>
      </c>
      <c r="Y488" s="13" t="s">
        <v>1472</v>
      </c>
      <c r="AA488" s="13" t="b">
        <v>0</v>
      </c>
      <c r="AB488" s="13" t="b">
        <v>0</v>
      </c>
      <c r="AC488" s="13" t="b">
        <v>0</v>
      </c>
      <c r="AE488" s="27"/>
      <c r="AF488" s="27" t="str">
        <f>IFERROR(__xludf.DUMMYFUNCTION("""COMPUTED_VALUE"""),"no-calendar")</f>
        <v>no-calendar</v>
      </c>
      <c r="AG488" s="27"/>
      <c r="AH488" s="27"/>
      <c r="AI488" s="27"/>
    </row>
    <row r="489" hidden="1" outlineLevel="1">
      <c r="A489" s="27" t="s">
        <v>1439</v>
      </c>
      <c r="B489" s="30" t="s">
        <v>1473</v>
      </c>
      <c r="C489" s="27" t="s">
        <v>1474</v>
      </c>
      <c r="D489" s="27"/>
      <c r="E489" s="27"/>
      <c r="F489" s="27"/>
      <c r="G489" s="27"/>
      <c r="H489" s="27" t="s">
        <v>1475</v>
      </c>
      <c r="I489" s="27"/>
      <c r="J489" s="27" t="s">
        <v>1447</v>
      </c>
      <c r="K489" s="27"/>
      <c r="L489" s="27"/>
      <c r="M489" s="27"/>
      <c r="O489" s="27"/>
      <c r="P489" s="27"/>
      <c r="W489" s="13" t="s">
        <v>1476</v>
      </c>
      <c r="Y489" s="13" t="s">
        <v>1476</v>
      </c>
      <c r="AA489" s="13" t="b">
        <v>0</v>
      </c>
      <c r="AB489" s="13" t="b">
        <v>0</v>
      </c>
      <c r="AC489" s="13" t="b">
        <v>0</v>
      </c>
      <c r="AE489" s="27"/>
      <c r="AF489" s="27" t="str">
        <f>IFERROR(__xludf.DUMMYFUNCTION("""COMPUTED_VALUE"""),"no-calendar")</f>
        <v>no-calendar</v>
      </c>
      <c r="AG489" s="27"/>
      <c r="AH489" s="27"/>
      <c r="AI489" s="27"/>
    </row>
    <row r="490" hidden="1" outlineLevel="1">
      <c r="A490" s="27" t="s">
        <v>1477</v>
      </c>
      <c r="B490" s="30" t="s">
        <v>1478</v>
      </c>
      <c r="C490" s="27" t="s">
        <v>1479</v>
      </c>
      <c r="D490" s="27"/>
      <c r="E490" s="27" t="s">
        <v>1480</v>
      </c>
      <c r="F490" s="27"/>
      <c r="G490" s="27" t="s">
        <v>107</v>
      </c>
      <c r="H490" s="27"/>
      <c r="I490" s="27"/>
      <c r="J490" s="27"/>
      <c r="K490" s="27"/>
      <c r="L490" s="27"/>
      <c r="M490" s="27"/>
      <c r="O490" s="27"/>
      <c r="P490" s="27"/>
      <c r="W490" s="13" t="s">
        <v>1481</v>
      </c>
      <c r="Y490" s="13" t="s">
        <v>1481</v>
      </c>
      <c r="AA490" s="13" t="b">
        <v>0</v>
      </c>
      <c r="AB490" s="13" t="b">
        <v>0</v>
      </c>
      <c r="AC490" s="13" t="b">
        <v>0</v>
      </c>
      <c r="AE490" s="27"/>
      <c r="AF490" s="27" t="str">
        <f>IFERROR(__xludf.DUMMYFUNCTION("""COMPUTED_VALUE"""),"hide-input")</f>
        <v>hide-input</v>
      </c>
      <c r="AG490" s="27"/>
      <c r="AH490" s="27"/>
      <c r="AI490" s="27"/>
    </row>
    <row r="491" hidden="1" outlineLevel="1">
      <c r="A491" s="27" t="s">
        <v>1431</v>
      </c>
      <c r="B491" s="30" t="s">
        <v>1482</v>
      </c>
      <c r="C491" s="27" t="s">
        <v>1483</v>
      </c>
      <c r="D491" s="27"/>
      <c r="E491" s="27"/>
      <c r="F491" s="27"/>
      <c r="G491" s="27" t="s">
        <v>107</v>
      </c>
      <c r="H491" s="27"/>
      <c r="I491" s="27"/>
      <c r="J491" s="27"/>
      <c r="K491" s="27"/>
      <c r="L491" s="27"/>
      <c r="M491" s="27"/>
      <c r="O491" s="27"/>
      <c r="P491" s="27"/>
      <c r="W491" s="13" t="s">
        <v>1484</v>
      </c>
      <c r="Y491" s="13" t="s">
        <v>1484</v>
      </c>
      <c r="AA491" s="13" t="b">
        <v>0</v>
      </c>
      <c r="AB491" s="13" t="b">
        <v>0</v>
      </c>
      <c r="AC491" s="13" t="b">
        <v>0</v>
      </c>
      <c r="AE491" s="27"/>
      <c r="AF491" s="27" t="str">
        <f>IFERROR(__xludf.DUMMYFUNCTION("""COMPUTED_VALUE"""),"quick,likert,map,minimal,search,columns-pack,columns,columns-n,no-buttons,image-map,label,list-nolabel,list")</f>
        <v>quick,likert,map,minimal,search,columns-pack,columns,columns-n,no-buttons,image-map,label,list-nolabel,list</v>
      </c>
      <c r="AG491" s="27"/>
      <c r="AH491" s="27"/>
      <c r="AI491" s="27"/>
    </row>
    <row r="492" hidden="1" outlineLevel="1">
      <c r="A492" s="27" t="s">
        <v>1457</v>
      </c>
      <c r="B492" s="30" t="s">
        <v>1485</v>
      </c>
      <c r="C492" s="27" t="s">
        <v>1486</v>
      </c>
      <c r="D492" s="27"/>
      <c r="E492" s="27"/>
      <c r="F492" s="27"/>
      <c r="G492" s="27" t="s">
        <v>107</v>
      </c>
      <c r="H492" s="27"/>
      <c r="I492" s="27"/>
      <c r="J492" s="27"/>
      <c r="K492" s="27"/>
      <c r="L492" s="27"/>
      <c r="M492" s="27"/>
      <c r="O492" s="27"/>
      <c r="P492" s="27"/>
      <c r="W492" s="13" t="s">
        <v>1487</v>
      </c>
      <c r="Y492" s="13" t="s">
        <v>1487</v>
      </c>
      <c r="AA492" s="13" t="b">
        <v>0</v>
      </c>
      <c r="AB492" s="13" t="b">
        <v>0</v>
      </c>
      <c r="AC492" s="13" t="b">
        <v>0</v>
      </c>
      <c r="AE492" s="27"/>
      <c r="AF492" s="27" t="str">
        <f>IFERROR(__xludf.DUMMYFUNCTION("""COMPUTED_VALUE"""),"quick,likert,map,minimal,search,columns-pack,columns,columns-n,no-buttons,image-map,label,list-nolabel,list")</f>
        <v>quick,likert,map,minimal,search,columns-pack,columns,columns-n,no-buttons,image-map,label,list-nolabel,list</v>
      </c>
      <c r="AG492" s="27"/>
      <c r="AH492" s="27"/>
      <c r="AI492" s="27"/>
    </row>
    <row r="493" hidden="1" outlineLevel="1">
      <c r="A493" s="27" t="s">
        <v>231</v>
      </c>
      <c r="B493" s="30" t="s">
        <v>1488</v>
      </c>
      <c r="C493" s="27" t="s">
        <v>1489</v>
      </c>
      <c r="D493" s="27"/>
      <c r="E493" s="27"/>
      <c r="F493" s="27"/>
      <c r="G493" s="27" t="s">
        <v>107</v>
      </c>
      <c r="H493" s="27"/>
      <c r="I493" s="27"/>
      <c r="J493" s="27"/>
      <c r="K493" s="27"/>
      <c r="L493" s="27" t="s">
        <v>308</v>
      </c>
      <c r="M493" s="27"/>
      <c r="O493" s="27"/>
      <c r="P493" s="27"/>
      <c r="W493" s="13" t="s">
        <v>1490</v>
      </c>
      <c r="Y493" s="13" t="s">
        <v>1490</v>
      </c>
      <c r="AA493" s="13" t="b">
        <v>0</v>
      </c>
      <c r="AB493" s="13" t="b">
        <v>0</v>
      </c>
      <c r="AC493" s="13" t="b">
        <v>0</v>
      </c>
      <c r="AE493" s="27"/>
      <c r="AF493" s="27" t="str">
        <f>IFERROR(__xludf.DUMMYFUNCTION("""COMPUTED_VALUE"""),"")</f>
        <v/>
      </c>
      <c r="AG493" s="27"/>
      <c r="AH493" s="27"/>
      <c r="AI493" s="27"/>
    </row>
    <row r="494" hidden="1" outlineLevel="1">
      <c r="A494" s="27" t="s">
        <v>78</v>
      </c>
      <c r="B494" s="30" t="s">
        <v>1491</v>
      </c>
      <c r="C494" s="27" t="s">
        <v>1492</v>
      </c>
      <c r="D494" s="27"/>
      <c r="E494" s="27"/>
      <c r="F494" s="27"/>
      <c r="G494" s="27"/>
      <c r="H494" s="27"/>
      <c r="I494" s="27"/>
      <c r="J494" s="27"/>
      <c r="K494" s="27"/>
      <c r="L494" s="27"/>
      <c r="M494" s="27"/>
      <c r="O494" s="27"/>
      <c r="P494" s="27"/>
      <c r="W494" s="13" t="s">
        <v>1493</v>
      </c>
      <c r="Y494" s="13" t="s">
        <v>1493</v>
      </c>
      <c r="AA494" s="13" t="b">
        <v>0</v>
      </c>
      <c r="AB494" s="13" t="b">
        <v>0</v>
      </c>
      <c r="AC494" s="13" t="b">
        <v>0</v>
      </c>
      <c r="AE494" s="27"/>
      <c r="AF494" s="27" t="str">
        <f>IFERROR(__xludf.DUMMYFUNCTION("""COMPUTED_VALUE"""),"ex:,new")</f>
        <v>ex:,new</v>
      </c>
      <c r="AG494" s="27"/>
      <c r="AH494" s="27"/>
      <c r="AI494" s="27"/>
    </row>
    <row r="495" hidden="1" outlineLevel="1">
      <c r="A495" s="27" t="s">
        <v>1431</v>
      </c>
      <c r="B495" s="30" t="s">
        <v>1494</v>
      </c>
      <c r="C495" s="27" t="s">
        <v>1495</v>
      </c>
      <c r="D495" s="27"/>
      <c r="E495" s="27"/>
      <c r="F495" s="27"/>
      <c r="G495" s="27" t="s">
        <v>107</v>
      </c>
      <c r="H495" s="27"/>
      <c r="I495" s="27"/>
      <c r="J495" s="27"/>
      <c r="K495" s="27"/>
      <c r="L495" s="27"/>
      <c r="M495" s="27"/>
      <c r="O495" s="27"/>
      <c r="P495" s="27"/>
      <c r="W495" s="13" t="s">
        <v>1496</v>
      </c>
      <c r="Y495" s="13" t="s">
        <v>1496</v>
      </c>
      <c r="AA495" s="13" t="b">
        <v>0</v>
      </c>
      <c r="AB495" s="13" t="b">
        <v>0</v>
      </c>
      <c r="AC495" s="13" t="b">
        <v>0</v>
      </c>
      <c r="AE495" s="27"/>
      <c r="AF495" s="27" t="str">
        <f>IFERROR(__xludf.DUMMYFUNCTION("""COMPUTED_VALUE"""),"quick,likert,map,minimal,search,columns-pack,columns,columns-n,no-buttons,image-map,label,list-nolabel,list")</f>
        <v>quick,likert,map,minimal,search,columns-pack,columns,columns-n,no-buttons,image-map,label,list-nolabel,list</v>
      </c>
      <c r="AG495" s="27"/>
      <c r="AH495" s="27"/>
      <c r="AI495" s="27"/>
    </row>
    <row r="496">
      <c r="A496" s="27" t="s">
        <v>283</v>
      </c>
      <c r="B496" s="30"/>
      <c r="C496" s="27"/>
      <c r="D496" s="27"/>
      <c r="E496" s="27"/>
      <c r="F496" s="27"/>
      <c r="G496" s="27"/>
      <c r="H496" s="27"/>
      <c r="I496" s="27"/>
      <c r="J496" s="27"/>
      <c r="K496" s="27"/>
      <c r="L496" s="27"/>
      <c r="M496" s="27"/>
      <c r="N496" s="13"/>
      <c r="O496" s="27"/>
      <c r="P496" s="27"/>
      <c r="Q496" s="13"/>
      <c r="R496" s="13"/>
      <c r="S496" s="13"/>
      <c r="T496" s="13"/>
      <c r="U496" s="13"/>
      <c r="V496" s="13"/>
      <c r="W496" s="13"/>
      <c r="X496" s="13"/>
      <c r="Y496" s="13" t="s">
        <v>45</v>
      </c>
      <c r="Z496" s="13"/>
      <c r="AA496" s="13" t="b">
        <v>0</v>
      </c>
      <c r="AB496" s="13" t="b">
        <v>0</v>
      </c>
      <c r="AC496" s="13" t="b">
        <v>0</v>
      </c>
      <c r="AD496" s="13"/>
      <c r="AE496" s="27"/>
      <c r="AF496" s="27" t="str">
        <f>IFERROR(__xludf.DUMMYFUNCTION("""COMPUTED_VALUE"""),"")</f>
        <v/>
      </c>
      <c r="AG496" s="27"/>
      <c r="AH496" s="27"/>
      <c r="AI496" s="27"/>
    </row>
    <row r="497">
      <c r="A497" s="27"/>
      <c r="B497" s="30"/>
      <c r="C497" s="27"/>
      <c r="D497" s="27"/>
      <c r="E497" s="27"/>
      <c r="F497" s="27"/>
      <c r="G497" s="27"/>
      <c r="H497" s="27"/>
      <c r="I497" s="27"/>
      <c r="J497" s="27"/>
      <c r="K497" s="27"/>
      <c r="L497" s="27"/>
      <c r="M497" s="27"/>
      <c r="O497" s="27"/>
      <c r="P497" s="27"/>
      <c r="Y497" s="13" t="s">
        <v>45</v>
      </c>
      <c r="AA497" s="13" t="b">
        <v>0</v>
      </c>
      <c r="AB497" s="13" t="b">
        <v>0</v>
      </c>
      <c r="AC497" s="13" t="b">
        <v>0</v>
      </c>
      <c r="AE497" s="27"/>
      <c r="AF497" s="27" t="str">
        <f>IFERROR(__xludf.DUMMYFUNCTION("""COMPUTED_VALUE"""),"")</f>
        <v/>
      </c>
      <c r="AG497" s="27"/>
      <c r="AH497" s="27"/>
      <c r="AI497" s="27"/>
    </row>
    <row r="498">
      <c r="A498" s="27"/>
      <c r="B498" s="30"/>
      <c r="C498" s="27"/>
      <c r="D498" s="27"/>
      <c r="E498" s="27"/>
      <c r="F498" s="27"/>
      <c r="G498" s="27"/>
      <c r="H498" s="27"/>
      <c r="I498" s="27"/>
      <c r="J498" s="27"/>
      <c r="K498" s="27"/>
      <c r="L498" s="27"/>
      <c r="M498" s="27"/>
      <c r="O498" s="27"/>
      <c r="P498" s="27"/>
      <c r="Y498" s="13" t="s">
        <v>45</v>
      </c>
      <c r="AA498" s="13" t="b">
        <v>0</v>
      </c>
      <c r="AB498" s="13" t="b">
        <v>0</v>
      </c>
      <c r="AC498" s="13" t="b">
        <v>0</v>
      </c>
      <c r="AE498" s="27"/>
      <c r="AF498" s="27" t="str">
        <f>IFERROR(__xludf.DUMMYFUNCTION("""COMPUTED_VALUE"""),"")</f>
        <v/>
      </c>
      <c r="AG498" s="27"/>
      <c r="AH498" s="27"/>
      <c r="AI498" s="27"/>
    </row>
    <row r="499" collapsed="1">
      <c r="A499" s="27" t="s">
        <v>113</v>
      </c>
      <c r="B499" s="30" t="s">
        <v>1497</v>
      </c>
      <c r="C499" s="27" t="s">
        <v>1498</v>
      </c>
      <c r="D499" s="27" t="s">
        <v>1499</v>
      </c>
      <c r="E499" s="27" t="s">
        <v>116</v>
      </c>
      <c r="F499" s="27"/>
      <c r="G499" s="27"/>
      <c r="H499" s="27"/>
      <c r="I499" s="27"/>
      <c r="J499" s="27"/>
      <c r="K499" s="27"/>
      <c r="L499" s="27"/>
      <c r="M499" s="27"/>
      <c r="N499" s="13"/>
      <c r="O499" s="27"/>
      <c r="P499" s="27"/>
      <c r="Q499" s="13"/>
      <c r="R499" s="13"/>
      <c r="S499" s="13"/>
      <c r="T499" s="13"/>
      <c r="U499" s="13"/>
      <c r="V499" s="13"/>
      <c r="W499" s="13" t="s">
        <v>1498</v>
      </c>
      <c r="X499" s="13"/>
      <c r="Y499" s="13" t="s">
        <v>1498</v>
      </c>
      <c r="Z499" s="13"/>
      <c r="AA499" s="13" t="b">
        <v>0</v>
      </c>
      <c r="AB499" s="13" t="b">
        <v>0</v>
      </c>
      <c r="AC499" s="13" t="b">
        <v>0</v>
      </c>
      <c r="AD499" s="13"/>
      <c r="AE499" s="27"/>
      <c r="AF499" s="27" t="str">
        <f>IFERROR(__xludf.DUMMYFUNCTION("""COMPUTED_VALUE"""),"")</f>
        <v/>
      </c>
      <c r="AG499" s="27"/>
      <c r="AH499" s="27"/>
      <c r="AI499" s="27"/>
    </row>
    <row r="500" hidden="1" outlineLevel="1">
      <c r="A500" s="27" t="s">
        <v>324</v>
      </c>
      <c r="B500" s="30" t="s">
        <v>1500</v>
      </c>
      <c r="C500" s="27" t="s">
        <v>1501</v>
      </c>
      <c r="D500" s="27"/>
      <c r="E500" s="27"/>
      <c r="F500" s="27"/>
      <c r="G500" s="27" t="s">
        <v>107</v>
      </c>
      <c r="H500" s="27"/>
      <c r="I500" s="27"/>
      <c r="J500" s="27"/>
      <c r="K500" s="27"/>
      <c r="L500" s="27"/>
      <c r="M500" s="27"/>
      <c r="O500" s="27"/>
      <c r="P500" s="27"/>
      <c r="W500" s="13" t="s">
        <v>1502</v>
      </c>
      <c r="Y500" s="13" t="s">
        <v>1502</v>
      </c>
      <c r="AA500" s="13" t="b">
        <v>0</v>
      </c>
      <c r="AB500" s="13" t="b">
        <v>0</v>
      </c>
      <c r="AC500" s="13" t="b">
        <v>0</v>
      </c>
      <c r="AE500" s="27"/>
      <c r="AF500" s="27" t="str">
        <f>IFERROR(__xludf.DUMMYFUNCTION("""COMPUTED_VALUE"""),"quick,likert,map,minimal,search,columns-pack,columns,columns-n,no-buttons,image-map,label,list-nolabel,list")</f>
        <v>quick,likert,map,minimal,search,columns-pack,columns,columns-n,no-buttons,image-map,label,list-nolabel,list</v>
      </c>
      <c r="AG500" s="27"/>
      <c r="AH500" s="27"/>
      <c r="AI500" s="27"/>
    </row>
    <row r="501" hidden="1" outlineLevel="1">
      <c r="A501" s="27"/>
      <c r="B501" s="30"/>
      <c r="C501" s="27"/>
      <c r="D501" s="27"/>
      <c r="E501" s="27"/>
      <c r="F501" s="27"/>
      <c r="G501" s="27"/>
      <c r="H501" s="27"/>
      <c r="I501" s="27"/>
      <c r="J501" s="27"/>
      <c r="K501" s="27"/>
      <c r="L501" s="27"/>
      <c r="M501" s="27"/>
      <c r="O501" s="27"/>
      <c r="P501" s="27"/>
      <c r="Y501" s="13" t="s">
        <v>45</v>
      </c>
      <c r="AA501" s="13" t="b">
        <v>0</v>
      </c>
      <c r="AB501" s="13" t="b">
        <v>0</v>
      </c>
      <c r="AC501" s="13" t="b">
        <v>0</v>
      </c>
      <c r="AE501" s="27"/>
      <c r="AF501" s="27" t="str">
        <f>IFERROR(__xludf.DUMMYFUNCTION("""COMPUTED_VALUE"""),"")</f>
        <v/>
      </c>
      <c r="AG501" s="27"/>
      <c r="AH501" s="27"/>
      <c r="AI501" s="27"/>
    </row>
    <row r="502" hidden="1" outlineLevel="1" collapsed="1">
      <c r="A502" s="27" t="s">
        <v>113</v>
      </c>
      <c r="B502" s="30" t="s">
        <v>1503</v>
      </c>
      <c r="C502" s="27"/>
      <c r="D502" s="27" t="s">
        <v>1504</v>
      </c>
      <c r="E502" s="27"/>
      <c r="F502" s="27"/>
      <c r="G502" s="27"/>
      <c r="H502" s="27"/>
      <c r="I502" s="27"/>
      <c r="J502" s="27"/>
      <c r="K502" s="27"/>
      <c r="L502" s="27"/>
      <c r="M502" s="27"/>
      <c r="N502" s="13"/>
      <c r="O502" s="27"/>
      <c r="P502" s="27"/>
      <c r="Q502" s="13"/>
      <c r="R502" s="13"/>
      <c r="S502" s="13"/>
      <c r="T502" s="13"/>
      <c r="U502" s="13"/>
      <c r="V502" s="13"/>
      <c r="W502" s="13"/>
      <c r="X502" s="13"/>
      <c r="Y502" s="13" t="s">
        <v>45</v>
      </c>
      <c r="Z502" s="13"/>
      <c r="AA502" s="13" t="b">
        <v>0</v>
      </c>
      <c r="AB502" s="13" t="b">
        <v>0</v>
      </c>
      <c r="AC502" s="13" t="b">
        <v>0</v>
      </c>
      <c r="AD502" s="13"/>
      <c r="AE502" s="27"/>
      <c r="AF502" s="27" t="str">
        <f>IFERROR(__xludf.DUMMYFUNCTION("""COMPUTED_VALUE"""),"")</f>
        <v/>
      </c>
      <c r="AG502" s="27"/>
      <c r="AH502" s="27"/>
      <c r="AI502" s="27"/>
    </row>
    <row r="503" hidden="1" outlineLevel="2">
      <c r="A503" s="27" t="s">
        <v>341</v>
      </c>
      <c r="B503" s="30" t="s">
        <v>1505</v>
      </c>
      <c r="C503" s="27" t="s">
        <v>1506</v>
      </c>
      <c r="D503" s="27"/>
      <c r="E503" s="27"/>
      <c r="F503" s="27"/>
      <c r="G503" s="27" t="s">
        <v>107</v>
      </c>
      <c r="H503" s="27"/>
      <c r="I503" s="27"/>
      <c r="J503" s="40" t="s">
        <v>97</v>
      </c>
      <c r="K503" s="27"/>
      <c r="L503" s="27"/>
      <c r="M503" s="27"/>
      <c r="O503" s="27"/>
      <c r="P503" s="27"/>
      <c r="W503" s="13" t="s">
        <v>1507</v>
      </c>
      <c r="Y503" s="13" t="s">
        <v>1507</v>
      </c>
      <c r="AA503" s="13" t="b">
        <v>0</v>
      </c>
      <c r="AB503" s="13" t="b">
        <v>0</v>
      </c>
      <c r="AC503" s="13" t="b">
        <v>0</v>
      </c>
      <c r="AE503" s="27"/>
      <c r="AF503" s="27" t="str">
        <f>IFERROR(__xludf.DUMMYFUNCTION("""COMPUTED_VALUE"""),"no-calendar,month-year,year,ethiopian,coptic,islamic,bikram-sambat,myanmar,persian")</f>
        <v>no-calendar,month-year,year,ethiopian,coptic,islamic,bikram-sambat,myanmar,persian</v>
      </c>
      <c r="AG503" s="27"/>
      <c r="AH503" s="27"/>
      <c r="AI503" s="27"/>
    </row>
    <row r="504" hidden="1" outlineLevel="2">
      <c r="A504" s="27" t="s">
        <v>1508</v>
      </c>
      <c r="B504" s="30" t="s">
        <v>1509</v>
      </c>
      <c r="C504" s="27" t="s">
        <v>1510</v>
      </c>
      <c r="D504" s="27"/>
      <c r="E504" s="27"/>
      <c r="F504" s="27"/>
      <c r="G504" s="27" t="s">
        <v>107</v>
      </c>
      <c r="H504" s="27"/>
      <c r="I504" s="27"/>
      <c r="J504" s="27"/>
      <c r="K504" s="27"/>
      <c r="L504" s="27"/>
      <c r="M504" s="27"/>
      <c r="O504" s="27"/>
      <c r="P504" s="27"/>
      <c r="W504" s="13" t="s">
        <v>1511</v>
      </c>
      <c r="Y504" s="13" t="s">
        <v>1511</v>
      </c>
      <c r="AA504" s="13" t="b">
        <v>0</v>
      </c>
      <c r="AB504" s="13" t="b">
        <v>0</v>
      </c>
      <c r="AC504" s="13" t="b">
        <v>0</v>
      </c>
      <c r="AE504" s="27"/>
      <c r="AF504" s="27" t="str">
        <f>IFERROR(__xludf.DUMMYFUNCTION("""COMPUTED_VALUE"""),"minimal,search,columns-pack,columns,columns-n,no-buttons,image-map,label,list-nolabel,list")</f>
        <v>minimal,search,columns-pack,columns,columns-n,no-buttons,image-map,label,list-nolabel,list</v>
      </c>
      <c r="AG504" s="27"/>
      <c r="AH504" s="27"/>
      <c r="AI504" s="27"/>
    </row>
    <row r="505" hidden="1" outlineLevel="2">
      <c r="A505" s="27" t="s">
        <v>770</v>
      </c>
      <c r="B505" s="30" t="s">
        <v>1512</v>
      </c>
      <c r="C505" s="27" t="s">
        <v>1513</v>
      </c>
      <c r="D505" s="27"/>
      <c r="E505" s="27"/>
      <c r="F505" s="27"/>
      <c r="G505" s="27" t="s">
        <v>107</v>
      </c>
      <c r="H505" s="27"/>
      <c r="I505" s="27"/>
      <c r="J505" s="27"/>
      <c r="K505" s="27"/>
      <c r="L505" s="27"/>
      <c r="M505" s="27"/>
      <c r="O505" s="27"/>
      <c r="P505" s="27"/>
      <c r="W505" s="13" t="s">
        <v>1514</v>
      </c>
      <c r="Y505" s="13" t="s">
        <v>1514</v>
      </c>
      <c r="AA505" s="13" t="b">
        <v>0</v>
      </c>
      <c r="AB505" s="13" t="b">
        <v>0</v>
      </c>
      <c r="AC505" s="13" t="b">
        <v>0</v>
      </c>
      <c r="AE505" s="27"/>
      <c r="AF505" s="27" t="str">
        <f>IFERROR(__xludf.DUMMYFUNCTION("""COMPUTED_VALUE"""),"ex:,thousands-sep,bearing")</f>
        <v>ex:,thousands-sep,bearing</v>
      </c>
      <c r="AG505" s="27"/>
      <c r="AH505" s="27"/>
      <c r="AI505" s="27"/>
    </row>
    <row r="506" hidden="1" outlineLevel="2">
      <c r="A506" s="27" t="s">
        <v>770</v>
      </c>
      <c r="B506" s="30" t="s">
        <v>1515</v>
      </c>
      <c r="C506" s="27" t="s">
        <v>1516</v>
      </c>
      <c r="D506" s="27"/>
      <c r="E506" s="27"/>
      <c r="F506" s="27"/>
      <c r="G506" s="27" t="s">
        <v>107</v>
      </c>
      <c r="H506" s="27"/>
      <c r="I506" s="27"/>
      <c r="J506" s="27"/>
      <c r="K506" s="27"/>
      <c r="L506" s="27"/>
      <c r="M506" s="27"/>
      <c r="O506" s="27"/>
      <c r="P506" s="27"/>
      <c r="W506" s="13" t="s">
        <v>1517</v>
      </c>
      <c r="Y506" s="13" t="s">
        <v>1517</v>
      </c>
      <c r="AA506" s="13" t="b">
        <v>0</v>
      </c>
      <c r="AB506" s="13" t="b">
        <v>0</v>
      </c>
      <c r="AC506" s="13" t="b">
        <v>0</v>
      </c>
      <c r="AE506" s="27"/>
      <c r="AF506" s="27" t="str">
        <f>IFERROR(__xludf.DUMMYFUNCTION("""COMPUTED_VALUE"""),"ex:,thousands-sep,bearing")</f>
        <v>ex:,thousands-sep,bearing</v>
      </c>
      <c r="AG506" s="27"/>
      <c r="AH506" s="27"/>
      <c r="AI506" s="27"/>
    </row>
    <row r="507" hidden="1" outlineLevel="2">
      <c r="A507" s="27" t="s">
        <v>770</v>
      </c>
      <c r="B507" s="30" t="s">
        <v>1518</v>
      </c>
      <c r="C507" s="27" t="s">
        <v>1519</v>
      </c>
      <c r="D507" s="27"/>
      <c r="E507" s="27"/>
      <c r="F507" s="27"/>
      <c r="G507" s="27" t="s">
        <v>107</v>
      </c>
      <c r="H507" s="27"/>
      <c r="I507" s="27"/>
      <c r="J507" s="27"/>
      <c r="K507" s="27"/>
      <c r="L507" s="27"/>
      <c r="M507" s="27"/>
      <c r="O507" s="27"/>
      <c r="P507" s="27"/>
      <c r="W507" s="13" t="s">
        <v>1520</v>
      </c>
      <c r="Y507" s="13" t="s">
        <v>1520</v>
      </c>
      <c r="AA507" s="13" t="b">
        <v>0</v>
      </c>
      <c r="AB507" s="13" t="b">
        <v>0</v>
      </c>
      <c r="AC507" s="13" t="b">
        <v>0</v>
      </c>
      <c r="AE507" s="27"/>
      <c r="AF507" s="27" t="str">
        <f>IFERROR(__xludf.DUMMYFUNCTION("""COMPUTED_VALUE"""),"ex:,thousands-sep,bearing")</f>
        <v>ex:,thousands-sep,bearing</v>
      </c>
      <c r="AG507" s="27"/>
      <c r="AH507" s="27"/>
      <c r="AI507" s="27"/>
    </row>
    <row r="508" hidden="1" outlineLevel="2">
      <c r="A508" s="27" t="s">
        <v>80</v>
      </c>
      <c r="B508" s="30" t="s">
        <v>1521</v>
      </c>
      <c r="C508" s="27"/>
      <c r="D508" s="27"/>
      <c r="E508" s="27"/>
      <c r="F508" s="27" t="s">
        <v>1522</v>
      </c>
      <c r="G508" s="27"/>
      <c r="H508" s="27"/>
      <c r="I508" s="27"/>
      <c r="J508" s="27"/>
      <c r="K508" s="27"/>
      <c r="L508" s="27"/>
      <c r="M508" s="27"/>
      <c r="O508" s="27"/>
      <c r="P508" s="27"/>
      <c r="Y508" s="13" t="s">
        <v>45</v>
      </c>
      <c r="AA508" s="13" t="b">
        <v>0</v>
      </c>
      <c r="AB508" s="13" t="b">
        <v>0</v>
      </c>
      <c r="AC508" s="13" t="b">
        <v>0</v>
      </c>
      <c r="AE508" s="27"/>
      <c r="AF508" s="27" t="str">
        <f>IFERROR(__xludf.DUMMYFUNCTION("""COMPUTED_VALUE"""),"")</f>
        <v/>
      </c>
      <c r="AG508" s="27"/>
      <c r="AH508" s="27"/>
      <c r="AI508" s="27"/>
    </row>
    <row r="509" hidden="1" outlineLevel="2">
      <c r="A509" s="27" t="s">
        <v>76</v>
      </c>
      <c r="B509" s="30" t="s">
        <v>1523</v>
      </c>
      <c r="C509" s="27" t="s">
        <v>1524</v>
      </c>
      <c r="D509" s="27"/>
      <c r="E509" s="27"/>
      <c r="F509" s="27"/>
      <c r="G509" s="27"/>
      <c r="H509" s="27"/>
      <c r="I509" s="27"/>
      <c r="J509" s="27"/>
      <c r="K509" s="27"/>
      <c r="L509" s="27"/>
      <c r="M509" s="27"/>
      <c r="O509" s="27"/>
      <c r="P509" s="27"/>
      <c r="W509" s="13" t="s">
        <v>1525</v>
      </c>
      <c r="Y509" s="13" t="s">
        <v>1525</v>
      </c>
      <c r="AA509" s="13" t="b">
        <v>0</v>
      </c>
      <c r="AB509" s="13" t="b">
        <v>0</v>
      </c>
      <c r="AC509" s="13" t="b">
        <v>0</v>
      </c>
      <c r="AE509" s="27"/>
      <c r="AF509" s="27" t="str">
        <f>IFERROR(__xludf.DUMMYFUNCTION("""COMPUTED_VALUE"""),"")</f>
        <v/>
      </c>
      <c r="AG509" s="27"/>
      <c r="AH509" s="27"/>
      <c r="AI509" s="27"/>
    </row>
    <row r="510" hidden="1" outlineLevel="2">
      <c r="A510" s="27" t="s">
        <v>76</v>
      </c>
      <c r="B510" s="30" t="s">
        <v>1526</v>
      </c>
      <c r="C510" s="27" t="s">
        <v>1527</v>
      </c>
      <c r="D510" s="27"/>
      <c r="E510" s="27"/>
      <c r="F510" s="27"/>
      <c r="G510" s="27"/>
      <c r="H510" s="27"/>
      <c r="I510" s="27"/>
      <c r="J510" s="27"/>
      <c r="K510" s="27"/>
      <c r="L510" s="27"/>
      <c r="M510" s="27"/>
      <c r="O510" s="27"/>
      <c r="P510" s="27"/>
      <c r="W510" s="13" t="s">
        <v>1528</v>
      </c>
      <c r="Y510" s="13" t="s">
        <v>1528</v>
      </c>
      <c r="AA510" s="13" t="b">
        <v>0</v>
      </c>
      <c r="AB510" s="13" t="b">
        <v>0</v>
      </c>
      <c r="AC510" s="13" t="b">
        <v>0</v>
      </c>
      <c r="AE510" s="27"/>
      <c r="AF510" s="27" t="str">
        <f>IFERROR(__xludf.DUMMYFUNCTION("""COMPUTED_VALUE"""),"")</f>
        <v/>
      </c>
      <c r="AG510" s="27"/>
      <c r="AH510" s="27"/>
      <c r="AI510" s="27"/>
    </row>
    <row r="511" hidden="1" outlineLevel="2">
      <c r="A511" s="27" t="s">
        <v>80</v>
      </c>
      <c r="B511" s="30" t="s">
        <v>1529</v>
      </c>
      <c r="C511" s="27"/>
      <c r="D511" s="27"/>
      <c r="E511" s="27"/>
      <c r="F511" s="27" t="s">
        <v>1530</v>
      </c>
      <c r="G511" s="27"/>
      <c r="H511" s="27"/>
      <c r="I511" s="27"/>
      <c r="J511" s="27"/>
      <c r="K511" s="27"/>
      <c r="L511" s="27"/>
      <c r="M511" s="27"/>
      <c r="O511" s="27"/>
      <c r="P511" s="27"/>
      <c r="Y511" s="13" t="s">
        <v>45</v>
      </c>
      <c r="AA511" s="13" t="b">
        <v>0</v>
      </c>
      <c r="AB511" s="13" t="b">
        <v>0</v>
      </c>
      <c r="AC511" s="13" t="b">
        <v>0</v>
      </c>
      <c r="AE511" s="27"/>
      <c r="AF511" s="27" t="str">
        <f>IFERROR(__xludf.DUMMYFUNCTION("""COMPUTED_VALUE"""),"")</f>
        <v/>
      </c>
      <c r="AG511" s="27"/>
      <c r="AH511" s="27"/>
      <c r="AI511" s="27"/>
    </row>
    <row r="512" hidden="1" outlineLevel="2">
      <c r="A512" s="27" t="s">
        <v>76</v>
      </c>
      <c r="B512" s="30" t="s">
        <v>1531</v>
      </c>
      <c r="C512" s="27" t="s">
        <v>1532</v>
      </c>
      <c r="D512" s="27"/>
      <c r="E512" s="27"/>
      <c r="F512" s="27"/>
      <c r="G512" s="27"/>
      <c r="H512" s="27"/>
      <c r="I512" s="27"/>
      <c r="J512" s="27"/>
      <c r="K512" s="27"/>
      <c r="L512" s="27"/>
      <c r="M512" s="27"/>
      <c r="O512" s="27"/>
      <c r="P512" s="27"/>
      <c r="W512" s="13" t="s">
        <v>1533</v>
      </c>
      <c r="Y512" s="13" t="s">
        <v>1533</v>
      </c>
      <c r="AA512" s="13" t="b">
        <v>0</v>
      </c>
      <c r="AB512" s="13" t="b">
        <v>0</v>
      </c>
      <c r="AC512" s="13" t="b">
        <v>0</v>
      </c>
      <c r="AE512" s="27"/>
      <c r="AF512" s="27" t="str">
        <f>IFERROR(__xludf.DUMMYFUNCTION("""COMPUTED_VALUE"""),"")</f>
        <v/>
      </c>
      <c r="AG512" s="27"/>
      <c r="AH512" s="27"/>
      <c r="AI512" s="27"/>
    </row>
    <row r="513" hidden="1" outlineLevel="2">
      <c r="A513" s="27" t="s">
        <v>80</v>
      </c>
      <c r="B513" s="30" t="s">
        <v>1534</v>
      </c>
      <c r="C513" s="27"/>
      <c r="D513" s="27"/>
      <c r="E513" s="27"/>
      <c r="F513" s="27" t="s">
        <v>1535</v>
      </c>
      <c r="G513" s="27"/>
      <c r="H513" s="27"/>
      <c r="I513" s="27"/>
      <c r="J513" s="27"/>
      <c r="K513" s="27"/>
      <c r="L513" s="27"/>
      <c r="M513" s="27"/>
      <c r="O513" s="27"/>
      <c r="P513" s="27"/>
      <c r="Y513" s="13" t="s">
        <v>45</v>
      </c>
      <c r="AA513" s="13" t="b">
        <v>0</v>
      </c>
      <c r="AB513" s="13" t="b">
        <v>0</v>
      </c>
      <c r="AC513" s="13" t="b">
        <v>0</v>
      </c>
      <c r="AE513" s="27"/>
      <c r="AF513" s="27" t="str">
        <f>IFERROR(__xludf.DUMMYFUNCTION("""COMPUTED_VALUE"""),"")</f>
        <v/>
      </c>
      <c r="AG513" s="27"/>
      <c r="AH513" s="27"/>
      <c r="AI513" s="27"/>
    </row>
    <row r="514" hidden="1" outlineLevel="2">
      <c r="A514" s="27" t="s">
        <v>76</v>
      </c>
      <c r="B514" s="30" t="s">
        <v>1536</v>
      </c>
      <c r="C514" s="27" t="s">
        <v>1537</v>
      </c>
      <c r="D514" s="27"/>
      <c r="E514" s="27"/>
      <c r="F514" s="27"/>
      <c r="G514" s="27"/>
      <c r="H514" s="27"/>
      <c r="I514" s="27"/>
      <c r="J514" s="27"/>
      <c r="K514" s="27"/>
      <c r="L514" s="27"/>
      <c r="M514" s="27"/>
      <c r="O514" s="27"/>
      <c r="P514" s="27"/>
      <c r="W514" s="13" t="s">
        <v>1538</v>
      </c>
      <c r="Y514" s="13" t="s">
        <v>1538</v>
      </c>
      <c r="AA514" s="13" t="b">
        <v>0</v>
      </c>
      <c r="AB514" s="13" t="b">
        <v>0</v>
      </c>
      <c r="AC514" s="13" t="b">
        <v>0</v>
      </c>
      <c r="AE514" s="27"/>
      <c r="AF514" s="27" t="str">
        <f>IFERROR(__xludf.DUMMYFUNCTION("""COMPUTED_VALUE"""),"")</f>
        <v/>
      </c>
      <c r="AG514" s="27"/>
      <c r="AH514" s="27"/>
      <c r="AI514" s="27"/>
    </row>
    <row r="515" hidden="1" outlineLevel="2">
      <c r="A515" s="27" t="s">
        <v>80</v>
      </c>
      <c r="B515" s="30" t="s">
        <v>1539</v>
      </c>
      <c r="C515" s="41"/>
      <c r="D515" s="27"/>
      <c r="E515" s="27"/>
      <c r="F515" s="27" t="s">
        <v>1540</v>
      </c>
      <c r="G515" s="27"/>
      <c r="H515" s="27"/>
      <c r="I515" s="27"/>
      <c r="J515" s="27"/>
      <c r="K515" s="27"/>
      <c r="L515" s="27"/>
      <c r="M515" s="27"/>
      <c r="O515" s="27"/>
      <c r="P515" s="27"/>
      <c r="W515" s="42"/>
      <c r="Y515" s="13" t="s">
        <v>45</v>
      </c>
      <c r="AA515" s="13" t="b">
        <v>0</v>
      </c>
      <c r="AB515" s="13" t="b">
        <v>0</v>
      </c>
      <c r="AC515" s="13" t="b">
        <v>0</v>
      </c>
      <c r="AE515" s="27"/>
      <c r="AF515" s="27" t="str">
        <f>IFERROR(__xludf.DUMMYFUNCTION("""COMPUTED_VALUE"""),"")</f>
        <v/>
      </c>
      <c r="AG515" s="27"/>
      <c r="AH515" s="27"/>
      <c r="AI515" s="27"/>
    </row>
    <row r="516" hidden="1" outlineLevel="2">
      <c r="A516" s="27" t="s">
        <v>76</v>
      </c>
      <c r="B516" s="30" t="s">
        <v>1541</v>
      </c>
      <c r="C516" s="27" t="s">
        <v>1542</v>
      </c>
      <c r="D516" s="27"/>
      <c r="E516" s="27"/>
      <c r="F516" s="27"/>
      <c r="G516" s="27"/>
      <c r="H516" s="27"/>
      <c r="I516" s="27"/>
      <c r="J516" s="27"/>
      <c r="K516" s="27"/>
      <c r="L516" s="27"/>
      <c r="M516" s="27"/>
      <c r="O516" s="27"/>
      <c r="P516" s="27"/>
      <c r="W516" s="13" t="s">
        <v>1543</v>
      </c>
      <c r="Y516" s="13" t="s">
        <v>1543</v>
      </c>
      <c r="AA516" s="13" t="b">
        <v>0</v>
      </c>
      <c r="AB516" s="13" t="b">
        <v>0</v>
      </c>
      <c r="AC516" s="13" t="b">
        <v>0</v>
      </c>
      <c r="AE516" s="27"/>
      <c r="AF516" s="27" t="str">
        <f>IFERROR(__xludf.DUMMYFUNCTION("""COMPUTED_VALUE"""),"")</f>
        <v/>
      </c>
      <c r="AG516" s="27"/>
      <c r="AH516" s="27"/>
      <c r="AI516" s="27"/>
    </row>
    <row r="517" hidden="1" outlineLevel="2">
      <c r="A517" s="27" t="s">
        <v>80</v>
      </c>
      <c r="B517" s="30" t="s">
        <v>1544</v>
      </c>
      <c r="C517" s="27"/>
      <c r="D517" s="27"/>
      <c r="E517" s="27"/>
      <c r="F517" s="27" t="s">
        <v>1545</v>
      </c>
      <c r="G517" s="27"/>
      <c r="H517" s="27"/>
      <c r="I517" s="27"/>
      <c r="J517" s="27"/>
      <c r="K517" s="27"/>
      <c r="L517" s="27"/>
      <c r="M517" s="27"/>
      <c r="O517" s="27"/>
      <c r="P517" s="27"/>
      <c r="Y517" s="13" t="s">
        <v>45</v>
      </c>
      <c r="AA517" s="13" t="b">
        <v>0</v>
      </c>
      <c r="AB517" s="13" t="b">
        <v>0</v>
      </c>
      <c r="AC517" s="13" t="b">
        <v>0</v>
      </c>
      <c r="AE517" s="27"/>
      <c r="AF517" s="27" t="str">
        <f>IFERROR(__xludf.DUMMYFUNCTION("""COMPUTED_VALUE"""),"")</f>
        <v/>
      </c>
      <c r="AG517" s="27"/>
      <c r="AH517" s="27"/>
      <c r="AI517" s="27"/>
    </row>
    <row r="518" hidden="1" outlineLevel="2">
      <c r="A518" s="27" t="s">
        <v>76</v>
      </c>
      <c r="B518" s="30" t="s">
        <v>1546</v>
      </c>
      <c r="C518" s="27" t="s">
        <v>1547</v>
      </c>
      <c r="D518" s="27"/>
      <c r="E518" s="27"/>
      <c r="F518" s="27"/>
      <c r="G518" s="27"/>
      <c r="H518" s="27"/>
      <c r="I518" s="27"/>
      <c r="J518" s="27"/>
      <c r="K518" s="27"/>
      <c r="L518" s="27"/>
      <c r="M518" s="27"/>
      <c r="O518" s="27"/>
      <c r="P518" s="27"/>
      <c r="W518" s="13" t="s">
        <v>1548</v>
      </c>
      <c r="Y518" s="13" t="s">
        <v>1548</v>
      </c>
      <c r="AA518" s="13" t="b">
        <v>0</v>
      </c>
      <c r="AB518" s="13" t="b">
        <v>0</v>
      </c>
      <c r="AC518" s="13" t="b">
        <v>0</v>
      </c>
      <c r="AE518" s="27"/>
      <c r="AF518" s="27" t="str">
        <f>IFERROR(__xludf.DUMMYFUNCTION("""COMPUTED_VALUE"""),"")</f>
        <v/>
      </c>
      <c r="AG518" s="27"/>
      <c r="AH518" s="27"/>
      <c r="AI518" s="27"/>
    </row>
    <row r="519" hidden="1" outlineLevel="2">
      <c r="A519" s="27" t="s">
        <v>150</v>
      </c>
      <c r="B519" s="30" t="s">
        <v>1549</v>
      </c>
      <c r="C519" s="27" t="s">
        <v>1550</v>
      </c>
      <c r="D519" s="27"/>
      <c r="E519" s="27"/>
      <c r="F519" s="27"/>
      <c r="G519" s="27" t="s">
        <v>107</v>
      </c>
      <c r="H519" s="27"/>
      <c r="I519" s="27"/>
      <c r="J519" s="27"/>
      <c r="K519" s="27"/>
      <c r="L519" s="27"/>
      <c r="M519" s="27"/>
      <c r="O519" s="27"/>
      <c r="P519" s="27"/>
      <c r="W519" s="13" t="s">
        <v>1551</v>
      </c>
      <c r="Y519" s="13" t="s">
        <v>1551</v>
      </c>
      <c r="AA519" s="13" t="b">
        <v>0</v>
      </c>
      <c r="AB519" s="13" t="b">
        <v>0</v>
      </c>
      <c r="AC519" s="13" t="b">
        <v>0</v>
      </c>
      <c r="AE519" s="27"/>
      <c r="AF519" s="27" t="str">
        <f>IFERROR(__xludf.DUMMYFUNCTION("""COMPUTED_VALUE"""),"ex:,thousands-sep,counter")</f>
        <v>ex:,thousands-sep,counter</v>
      </c>
      <c r="AG519" s="27"/>
      <c r="AH519" s="27"/>
      <c r="AI519" s="27"/>
    </row>
    <row r="520" hidden="1" outlineLevel="2">
      <c r="A520" s="27" t="s">
        <v>80</v>
      </c>
      <c r="B520" s="30" t="s">
        <v>1552</v>
      </c>
      <c r="C520" s="27"/>
      <c r="D520" s="27"/>
      <c r="E520" s="27"/>
      <c r="F520" s="27" t="s">
        <v>1553</v>
      </c>
      <c r="G520" s="27"/>
      <c r="H520" s="27"/>
      <c r="I520" s="27"/>
      <c r="J520" s="27"/>
      <c r="K520" s="27"/>
      <c r="L520" s="27"/>
      <c r="M520" s="27"/>
      <c r="O520" s="27"/>
      <c r="P520" s="27"/>
      <c r="Y520" s="13" t="s">
        <v>45</v>
      </c>
      <c r="AA520" s="13" t="b">
        <v>0</v>
      </c>
      <c r="AB520" s="13" t="b">
        <v>0</v>
      </c>
      <c r="AC520" s="13" t="b">
        <v>0</v>
      </c>
      <c r="AE520" s="27"/>
      <c r="AF520" s="27" t="str">
        <f>IFERROR(__xludf.DUMMYFUNCTION("""COMPUTED_VALUE"""),"")</f>
        <v/>
      </c>
      <c r="AG520" s="27"/>
      <c r="AH520" s="27"/>
      <c r="AI520" s="27"/>
    </row>
    <row r="521" hidden="1" outlineLevel="2">
      <c r="A521" s="27" t="s">
        <v>76</v>
      </c>
      <c r="B521" s="30" t="s">
        <v>1554</v>
      </c>
      <c r="C521" s="27" t="s">
        <v>1555</v>
      </c>
      <c r="D521" s="27"/>
      <c r="E521" s="27"/>
      <c r="F521" s="27"/>
      <c r="G521" s="27"/>
      <c r="H521" s="27"/>
      <c r="I521" s="27"/>
      <c r="J521" s="27"/>
      <c r="K521" s="27"/>
      <c r="L521" s="27"/>
      <c r="M521" s="27"/>
      <c r="O521" s="27"/>
      <c r="P521" s="27"/>
      <c r="W521" s="13" t="s">
        <v>1556</v>
      </c>
      <c r="Y521" s="13" t="s">
        <v>1556</v>
      </c>
      <c r="AA521" s="13" t="b">
        <v>0</v>
      </c>
      <c r="AB521" s="13" t="b">
        <v>0</v>
      </c>
      <c r="AC521" s="13" t="b">
        <v>0</v>
      </c>
      <c r="AE521" s="27"/>
      <c r="AF521" s="27" t="str">
        <f>IFERROR(__xludf.DUMMYFUNCTION("""COMPUTED_VALUE"""),"")</f>
        <v/>
      </c>
      <c r="AG521" s="27"/>
      <c r="AH521" s="27"/>
      <c r="AI521" s="27"/>
    </row>
    <row r="522" hidden="1" outlineLevel="2">
      <c r="A522" s="27" t="s">
        <v>80</v>
      </c>
      <c r="B522" s="30" t="s">
        <v>1557</v>
      </c>
      <c r="C522" s="27"/>
      <c r="D522" s="27"/>
      <c r="E522" s="27"/>
      <c r="F522" s="27" t="s">
        <v>1558</v>
      </c>
      <c r="G522" s="27"/>
      <c r="H522" s="27"/>
      <c r="I522" s="27"/>
      <c r="J522" s="27"/>
      <c r="K522" s="27"/>
      <c r="L522" s="27"/>
      <c r="M522" s="27"/>
      <c r="O522" s="27"/>
      <c r="P522" s="27"/>
      <c r="Y522" s="13" t="s">
        <v>45</v>
      </c>
      <c r="AA522" s="13" t="b">
        <v>0</v>
      </c>
      <c r="AB522" s="13" t="b">
        <v>0</v>
      </c>
      <c r="AC522" s="13" t="b">
        <v>0</v>
      </c>
      <c r="AE522" s="27"/>
      <c r="AF522" s="27" t="str">
        <f>IFERROR(__xludf.DUMMYFUNCTION("""COMPUTED_VALUE"""),"")</f>
        <v/>
      </c>
      <c r="AG522" s="27"/>
      <c r="AH522" s="27"/>
      <c r="AI522" s="27"/>
    </row>
    <row r="523" hidden="1" outlineLevel="2">
      <c r="A523" s="27" t="s">
        <v>76</v>
      </c>
      <c r="B523" s="30" t="s">
        <v>1559</v>
      </c>
      <c r="C523" s="27" t="s">
        <v>1560</v>
      </c>
      <c r="D523" s="27"/>
      <c r="E523" s="27"/>
      <c r="F523" s="27"/>
      <c r="G523" s="27"/>
      <c r="H523" s="27"/>
      <c r="I523" s="27"/>
      <c r="J523" s="27"/>
      <c r="K523" s="27"/>
      <c r="L523" s="27"/>
      <c r="M523" s="27"/>
      <c r="O523" s="27"/>
      <c r="P523" s="27"/>
      <c r="W523" s="13" t="s">
        <v>1561</v>
      </c>
      <c r="Y523" s="13" t="s">
        <v>1561</v>
      </c>
      <c r="AA523" s="13" t="b">
        <v>0</v>
      </c>
      <c r="AB523" s="13" t="b">
        <v>0</v>
      </c>
      <c r="AC523" s="13" t="b">
        <v>0</v>
      </c>
      <c r="AE523" s="27"/>
      <c r="AF523" s="27" t="str">
        <f>IFERROR(__xludf.DUMMYFUNCTION("""COMPUTED_VALUE"""),"")</f>
        <v/>
      </c>
      <c r="AG523" s="27"/>
      <c r="AH523" s="27"/>
      <c r="AI523" s="27"/>
    </row>
    <row r="524" hidden="1" outlineLevel="2">
      <c r="A524" s="27" t="s">
        <v>80</v>
      </c>
      <c r="B524" s="30" t="s">
        <v>1562</v>
      </c>
      <c r="C524" s="27"/>
      <c r="D524" s="27"/>
      <c r="E524" s="27"/>
      <c r="F524" s="27" t="s">
        <v>1563</v>
      </c>
      <c r="G524" s="27"/>
      <c r="H524" s="27"/>
      <c r="I524" s="27"/>
      <c r="J524" s="27"/>
      <c r="K524" s="27"/>
      <c r="L524" s="27"/>
      <c r="M524" s="27"/>
      <c r="O524" s="27"/>
      <c r="P524" s="27"/>
      <c r="Y524" s="13" t="s">
        <v>45</v>
      </c>
      <c r="AA524" s="13" t="b">
        <v>0</v>
      </c>
      <c r="AB524" s="13" t="b">
        <v>0</v>
      </c>
      <c r="AC524" s="13" t="b">
        <v>0</v>
      </c>
      <c r="AE524" s="27"/>
      <c r="AF524" s="27" t="str">
        <f>IFERROR(__xludf.DUMMYFUNCTION("""COMPUTED_VALUE"""),"")</f>
        <v/>
      </c>
      <c r="AG524" s="27"/>
      <c r="AH524" s="27"/>
      <c r="AI524" s="27"/>
    </row>
    <row r="525" hidden="1" outlineLevel="2">
      <c r="A525" s="27" t="s">
        <v>76</v>
      </c>
      <c r="B525" s="30" t="s">
        <v>1564</v>
      </c>
      <c r="C525" s="27" t="s">
        <v>1565</v>
      </c>
      <c r="D525" s="27"/>
      <c r="E525" s="27"/>
      <c r="F525" s="27"/>
      <c r="G525" s="27"/>
      <c r="H525" s="27"/>
      <c r="I525" s="27"/>
      <c r="J525" s="27"/>
      <c r="K525" s="27"/>
      <c r="L525" s="27"/>
      <c r="M525" s="27"/>
      <c r="O525" s="27"/>
      <c r="P525" s="27"/>
      <c r="W525" s="13" t="s">
        <v>1566</v>
      </c>
      <c r="Y525" s="13" t="s">
        <v>1566</v>
      </c>
      <c r="AA525" s="13" t="b">
        <v>0</v>
      </c>
      <c r="AB525" s="13" t="b">
        <v>0</v>
      </c>
      <c r="AC525" s="13" t="b">
        <v>0</v>
      </c>
      <c r="AE525" s="27"/>
      <c r="AF525" s="27" t="str">
        <f>IFERROR(__xludf.DUMMYFUNCTION("""COMPUTED_VALUE"""),"")</f>
        <v/>
      </c>
      <c r="AG525" s="27"/>
      <c r="AH525" s="27"/>
      <c r="AI525" s="27"/>
    </row>
    <row r="526" hidden="1" outlineLevel="1">
      <c r="A526" s="27" t="s">
        <v>283</v>
      </c>
      <c r="B526" s="30"/>
      <c r="C526" s="27"/>
      <c r="D526" s="27"/>
      <c r="E526" s="27"/>
      <c r="F526" s="27"/>
      <c r="G526" s="27"/>
      <c r="H526" s="27"/>
      <c r="I526" s="27"/>
      <c r="J526" s="27"/>
      <c r="K526" s="27"/>
      <c r="L526" s="27"/>
      <c r="M526" s="27"/>
      <c r="N526" s="13"/>
      <c r="O526" s="27"/>
      <c r="P526" s="27"/>
      <c r="Q526" s="13"/>
      <c r="R526" s="13"/>
      <c r="S526" s="13"/>
      <c r="T526" s="13"/>
      <c r="U526" s="13"/>
      <c r="V526" s="13"/>
      <c r="W526" s="13"/>
      <c r="X526" s="13"/>
      <c r="Y526" s="13" t="s">
        <v>45</v>
      </c>
      <c r="Z526" s="13"/>
      <c r="AA526" s="13" t="b">
        <v>0</v>
      </c>
      <c r="AB526" s="13" t="b">
        <v>0</v>
      </c>
      <c r="AC526" s="13" t="b">
        <v>0</v>
      </c>
      <c r="AD526" s="13"/>
      <c r="AE526" s="27"/>
      <c r="AF526" s="27" t="str">
        <f>IFERROR(__xludf.DUMMYFUNCTION("""COMPUTED_VALUE"""),"")</f>
        <v/>
      </c>
      <c r="AG526" s="27"/>
      <c r="AH526" s="27"/>
      <c r="AI526" s="27"/>
    </row>
    <row r="527" hidden="1" outlineLevel="1">
      <c r="A527" s="27"/>
      <c r="B527" s="30"/>
      <c r="C527" s="27"/>
      <c r="D527" s="27"/>
      <c r="E527" s="27"/>
      <c r="F527" s="27"/>
      <c r="G527" s="27"/>
      <c r="H527" s="27"/>
      <c r="I527" s="27"/>
      <c r="J527" s="27"/>
      <c r="K527" s="27"/>
      <c r="L527" s="27"/>
      <c r="M527" s="27"/>
      <c r="O527" s="27"/>
      <c r="P527" s="27"/>
      <c r="Y527" s="13" t="s">
        <v>45</v>
      </c>
      <c r="AA527" s="13" t="b">
        <v>0</v>
      </c>
      <c r="AB527" s="13" t="b">
        <v>0</v>
      </c>
      <c r="AC527" s="13" t="b">
        <v>0</v>
      </c>
      <c r="AE527" s="27"/>
      <c r="AF527" s="27" t="str">
        <f>IFERROR(__xludf.DUMMYFUNCTION("""COMPUTED_VALUE"""),"")</f>
        <v/>
      </c>
      <c r="AG527" s="27"/>
      <c r="AH527" s="27"/>
      <c r="AI527" s="27"/>
    </row>
    <row r="528" hidden="1" outlineLevel="1" collapsed="1">
      <c r="A528" s="27" t="s">
        <v>113</v>
      </c>
      <c r="B528" s="30" t="s">
        <v>1567</v>
      </c>
      <c r="C528" s="27"/>
      <c r="D528" s="27" t="s">
        <v>1568</v>
      </c>
      <c r="E528" s="27" t="s">
        <v>116</v>
      </c>
      <c r="F528" s="27"/>
      <c r="G528" s="27"/>
      <c r="H528" s="27"/>
      <c r="I528" s="27"/>
      <c r="J528" s="27"/>
      <c r="K528" s="27"/>
      <c r="L528" s="27"/>
      <c r="M528" s="27"/>
      <c r="N528" s="13"/>
      <c r="O528" s="27"/>
      <c r="P528" s="27"/>
      <c r="Q528" s="13"/>
      <c r="R528" s="13"/>
      <c r="S528" s="13"/>
      <c r="T528" s="13"/>
      <c r="U528" s="13"/>
      <c r="V528" s="13"/>
      <c r="W528" s="13"/>
      <c r="X528" s="13"/>
      <c r="Y528" s="13" t="s">
        <v>45</v>
      </c>
      <c r="Z528" s="13"/>
      <c r="AA528" s="13" t="b">
        <v>0</v>
      </c>
      <c r="AB528" s="13" t="b">
        <v>0</v>
      </c>
      <c r="AC528" s="13" t="b">
        <v>0</v>
      </c>
      <c r="AD528" s="13"/>
      <c r="AE528" s="27"/>
      <c r="AF528" s="27" t="str">
        <f>IFERROR(__xludf.DUMMYFUNCTION("""COMPUTED_VALUE"""),"")</f>
        <v/>
      </c>
      <c r="AG528" s="27"/>
      <c r="AH528" s="27"/>
      <c r="AI528" s="27"/>
    </row>
    <row r="529" hidden="1" outlineLevel="2">
      <c r="A529" s="27" t="s">
        <v>341</v>
      </c>
      <c r="B529" s="30" t="s">
        <v>1569</v>
      </c>
      <c r="C529" s="27" t="s">
        <v>1570</v>
      </c>
      <c r="D529" s="27"/>
      <c r="E529" s="27"/>
      <c r="F529" s="27"/>
      <c r="G529" s="27"/>
      <c r="H529" s="27"/>
      <c r="I529" s="27"/>
      <c r="J529" s="27" t="s">
        <v>97</v>
      </c>
      <c r="K529" s="27"/>
      <c r="L529" s="27"/>
      <c r="M529" s="27"/>
      <c r="O529" s="27"/>
      <c r="P529" s="27"/>
      <c r="W529" s="13" t="s">
        <v>1571</v>
      </c>
      <c r="Y529" s="13" t="s">
        <v>1571</v>
      </c>
      <c r="AA529" s="13" t="b">
        <v>0</v>
      </c>
      <c r="AB529" s="13" t="b">
        <v>0</v>
      </c>
      <c r="AC529" s="13" t="b">
        <v>0</v>
      </c>
      <c r="AE529" s="27"/>
      <c r="AF529" s="27" t="str">
        <f>IFERROR(__xludf.DUMMYFUNCTION("""COMPUTED_VALUE"""),"no-calendar,month-year,year,ethiopian,coptic,islamic,bikram-sambat,myanmar,persian")</f>
        <v>no-calendar,month-year,year,ethiopian,coptic,islamic,bikram-sambat,myanmar,persian</v>
      </c>
      <c r="AG529" s="27"/>
      <c r="AH529" s="27"/>
      <c r="AI529" s="27"/>
    </row>
    <row r="530" hidden="1" outlineLevel="2">
      <c r="A530" s="27" t="s">
        <v>324</v>
      </c>
      <c r="B530" s="30" t="s">
        <v>1572</v>
      </c>
      <c r="C530" s="27" t="s">
        <v>1573</v>
      </c>
      <c r="D530" s="27"/>
      <c r="E530" s="27"/>
      <c r="F530" s="27"/>
      <c r="G530" s="27" t="s">
        <v>107</v>
      </c>
      <c r="H530" s="27"/>
      <c r="I530" s="27"/>
      <c r="J530" s="27"/>
      <c r="K530" s="27"/>
      <c r="L530" s="27"/>
      <c r="M530" s="27"/>
      <c r="O530" s="27"/>
      <c r="P530" s="27"/>
      <c r="W530" s="13" t="s">
        <v>1574</v>
      </c>
      <c r="Y530" s="13" t="s">
        <v>1574</v>
      </c>
      <c r="AA530" s="13" t="b">
        <v>0</v>
      </c>
      <c r="AB530" s="13" t="b">
        <v>0</v>
      </c>
      <c r="AC530" s="13" t="b">
        <v>0</v>
      </c>
      <c r="AE530" s="27"/>
      <c r="AF530" s="27" t="str">
        <f>IFERROR(__xludf.DUMMYFUNCTION("""COMPUTED_VALUE"""),"quick,likert,map,minimal,search,columns-pack,columns,columns-n,no-buttons,image-map,label,list-nolabel,list")</f>
        <v>quick,likert,map,minimal,search,columns-pack,columns,columns-n,no-buttons,image-map,label,list-nolabel,list</v>
      </c>
      <c r="AG530" s="27"/>
      <c r="AH530" s="27"/>
      <c r="AI530" s="27"/>
    </row>
    <row r="531" hidden="1" outlineLevel="2">
      <c r="A531" s="27" t="s">
        <v>1575</v>
      </c>
      <c r="B531" s="30" t="s">
        <v>1576</v>
      </c>
      <c r="C531" s="27" t="s">
        <v>1577</v>
      </c>
      <c r="D531" s="27"/>
      <c r="E531" s="27"/>
      <c r="F531" s="27"/>
      <c r="G531" s="27" t="s">
        <v>107</v>
      </c>
      <c r="H531" s="27"/>
      <c r="I531" s="27"/>
      <c r="J531" s="27"/>
      <c r="K531" s="27"/>
      <c r="L531" s="27"/>
      <c r="M531" s="27"/>
      <c r="O531" s="27"/>
      <c r="P531" s="27"/>
      <c r="W531" s="13" t="s">
        <v>1578</v>
      </c>
      <c r="Y531" s="13" t="s">
        <v>1578</v>
      </c>
      <c r="AA531" s="13" t="b">
        <v>0</v>
      </c>
      <c r="AB531" s="13" t="b">
        <v>0</v>
      </c>
      <c r="AC531" s="13" t="b">
        <v>0</v>
      </c>
      <c r="AE531" s="27"/>
      <c r="AF531" s="27" t="str">
        <f>IFERROR(__xludf.DUMMYFUNCTION("""COMPUTED_VALUE"""),"quick,likert,map,minimal,search,columns-pack,columns,columns-n,no-buttons,image-map,label,list-nolabel,list")</f>
        <v>quick,likert,map,minimal,search,columns-pack,columns,columns-n,no-buttons,image-map,label,list-nolabel,list</v>
      </c>
      <c r="AG531" s="27"/>
      <c r="AH531" s="27"/>
      <c r="AI531" s="27"/>
    </row>
    <row r="532" hidden="1" outlineLevel="1">
      <c r="A532" s="27" t="s">
        <v>283</v>
      </c>
      <c r="B532" s="30"/>
      <c r="C532" s="27"/>
      <c r="D532" s="27"/>
      <c r="E532" s="27"/>
      <c r="F532" s="27"/>
      <c r="G532" s="27"/>
      <c r="H532" s="27"/>
      <c r="I532" s="27"/>
      <c r="J532" s="27"/>
      <c r="K532" s="27"/>
      <c r="L532" s="27"/>
      <c r="M532" s="27"/>
      <c r="N532" s="13"/>
      <c r="O532" s="27"/>
      <c r="P532" s="27"/>
      <c r="Q532" s="13"/>
      <c r="R532" s="13"/>
      <c r="S532" s="13"/>
      <c r="T532" s="13"/>
      <c r="U532" s="13"/>
      <c r="V532" s="13"/>
      <c r="W532" s="13"/>
      <c r="X532" s="13"/>
      <c r="Y532" s="13" t="s">
        <v>45</v>
      </c>
      <c r="Z532" s="13"/>
      <c r="AA532" s="13" t="b">
        <v>0</v>
      </c>
      <c r="AB532" s="13" t="b">
        <v>0</v>
      </c>
      <c r="AC532" s="13" t="b">
        <v>0</v>
      </c>
      <c r="AD532" s="13"/>
      <c r="AE532" s="27"/>
      <c r="AF532" s="27" t="str">
        <f>IFERROR(__xludf.DUMMYFUNCTION("""COMPUTED_VALUE"""),"")</f>
        <v/>
      </c>
      <c r="AG532" s="27"/>
      <c r="AH532" s="27"/>
      <c r="AI532" s="27"/>
    </row>
    <row r="533" hidden="1" outlineLevel="1">
      <c r="A533" s="27"/>
      <c r="B533" s="30"/>
      <c r="C533" s="27"/>
      <c r="D533" s="27"/>
      <c r="E533" s="27"/>
      <c r="F533" s="27"/>
      <c r="G533" s="27"/>
      <c r="H533" s="27"/>
      <c r="I533" s="27"/>
      <c r="J533" s="27"/>
      <c r="K533" s="27"/>
      <c r="L533" s="27"/>
      <c r="M533" s="27"/>
      <c r="O533" s="27"/>
      <c r="P533" s="27"/>
      <c r="Y533" s="13" t="s">
        <v>45</v>
      </c>
      <c r="AA533" s="13" t="b">
        <v>0</v>
      </c>
      <c r="AB533" s="13" t="b">
        <v>0</v>
      </c>
      <c r="AC533" s="13" t="b">
        <v>0</v>
      </c>
      <c r="AE533" s="27"/>
      <c r="AF533" s="27" t="str">
        <f>IFERROR(__xludf.DUMMYFUNCTION("""COMPUTED_VALUE"""),"")</f>
        <v/>
      </c>
      <c r="AG533" s="27"/>
      <c r="AH533" s="27"/>
      <c r="AI533" s="27"/>
    </row>
    <row r="534" hidden="1" outlineLevel="1">
      <c r="A534" s="27" t="s">
        <v>183</v>
      </c>
      <c r="B534" s="30" t="s">
        <v>1579</v>
      </c>
      <c r="C534" s="27" t="s">
        <v>1580</v>
      </c>
      <c r="D534" s="27"/>
      <c r="E534" s="27"/>
      <c r="F534" s="27"/>
      <c r="G534" s="27" t="s">
        <v>107</v>
      </c>
      <c r="H534" s="27"/>
      <c r="I534" s="27"/>
      <c r="J534" s="27"/>
      <c r="K534" s="27"/>
      <c r="L534" s="27"/>
      <c r="M534" s="27"/>
      <c r="O534" s="27"/>
      <c r="P534" s="27"/>
      <c r="W534" s="13" t="s">
        <v>1581</v>
      </c>
      <c r="Y534" s="13" t="s">
        <v>1581</v>
      </c>
      <c r="AA534" s="13" t="b">
        <v>0</v>
      </c>
      <c r="AB534" s="13" t="b">
        <v>0</v>
      </c>
      <c r="AC534" s="13" t="b">
        <v>0</v>
      </c>
      <c r="AE534" s="27"/>
      <c r="AF534" s="27" t="str">
        <f>IFERROR(__xludf.DUMMYFUNCTION("""COMPUTED_VALUE"""),"placement-map,maps,hide-input")</f>
        <v>placement-map,maps,hide-input</v>
      </c>
      <c r="AG534" s="27"/>
      <c r="AH534" s="27"/>
      <c r="AI534" s="27"/>
    </row>
    <row r="535" hidden="1" outlineLevel="1">
      <c r="A535" s="27" t="s">
        <v>231</v>
      </c>
      <c r="B535" s="30" t="s">
        <v>1582</v>
      </c>
      <c r="C535" s="27" t="s">
        <v>1583</v>
      </c>
      <c r="D535" s="27"/>
      <c r="E535" s="27"/>
      <c r="F535" s="27"/>
      <c r="G535" s="27" t="s">
        <v>107</v>
      </c>
      <c r="H535" s="27"/>
      <c r="I535" s="27"/>
      <c r="J535" s="27"/>
      <c r="K535" s="27"/>
      <c r="L535" s="27" t="s">
        <v>308</v>
      </c>
      <c r="M535" s="27"/>
      <c r="O535" s="27"/>
      <c r="P535" s="27"/>
      <c r="W535" s="13" t="s">
        <v>1584</v>
      </c>
      <c r="Y535" s="13" t="s">
        <v>1584</v>
      </c>
      <c r="AA535" s="13" t="b">
        <v>0</v>
      </c>
      <c r="AB535" s="13" t="b">
        <v>0</v>
      </c>
      <c r="AC535" s="13" t="b">
        <v>0</v>
      </c>
      <c r="AE535" s="27"/>
      <c r="AF535" s="27" t="str">
        <f>IFERROR(__xludf.DUMMYFUNCTION("""COMPUTED_VALUE"""),"")</f>
        <v/>
      </c>
      <c r="AG535" s="27"/>
      <c r="AH535" s="27"/>
      <c r="AI535" s="27"/>
    </row>
    <row r="536" hidden="1" outlineLevel="1">
      <c r="A536" s="27" t="s">
        <v>231</v>
      </c>
      <c r="B536" s="30" t="s">
        <v>1585</v>
      </c>
      <c r="C536" s="27" t="s">
        <v>1586</v>
      </c>
      <c r="D536" s="27"/>
      <c r="E536" s="27"/>
      <c r="F536" s="27"/>
      <c r="G536" s="27" t="s">
        <v>107</v>
      </c>
      <c r="H536" s="27"/>
      <c r="I536" s="27"/>
      <c r="J536" s="27"/>
      <c r="K536" s="27"/>
      <c r="L536" s="27" t="s">
        <v>308</v>
      </c>
      <c r="M536" s="27"/>
      <c r="O536" s="27"/>
      <c r="P536" s="27"/>
      <c r="W536" s="13" t="s">
        <v>1587</v>
      </c>
      <c r="Y536" s="13" t="s">
        <v>1587</v>
      </c>
      <c r="AA536" s="13" t="b">
        <v>0</v>
      </c>
      <c r="AB536" s="13" t="b">
        <v>0</v>
      </c>
      <c r="AC536" s="13" t="b">
        <v>0</v>
      </c>
      <c r="AE536" s="27"/>
      <c r="AF536" s="27" t="str">
        <f>IFERROR(__xludf.DUMMYFUNCTION("""COMPUTED_VALUE"""),"")</f>
        <v/>
      </c>
      <c r="AG536" s="27"/>
      <c r="AH536" s="27"/>
      <c r="AI536" s="27"/>
    </row>
    <row r="537" hidden="1" outlineLevel="1">
      <c r="A537" s="27" t="s">
        <v>231</v>
      </c>
      <c r="B537" s="30" t="s">
        <v>1588</v>
      </c>
      <c r="C537" s="27" t="s">
        <v>1589</v>
      </c>
      <c r="D537" s="27"/>
      <c r="E537" s="27"/>
      <c r="F537" s="27"/>
      <c r="G537" s="27"/>
      <c r="H537" s="27"/>
      <c r="I537" s="27"/>
      <c r="J537" s="27"/>
      <c r="K537" s="27"/>
      <c r="L537" s="27" t="s">
        <v>308</v>
      </c>
      <c r="M537" s="27"/>
      <c r="O537" s="27"/>
      <c r="P537" s="27"/>
      <c r="W537" s="13" t="s">
        <v>1590</v>
      </c>
      <c r="Y537" s="13" t="s">
        <v>1590</v>
      </c>
      <c r="AA537" s="13" t="b">
        <v>0</v>
      </c>
      <c r="AB537" s="13" t="b">
        <v>0</v>
      </c>
      <c r="AC537" s="13" t="b">
        <v>0</v>
      </c>
      <c r="AE537" s="27"/>
      <c r="AF537" s="27" t="str">
        <f>IFERROR(__xludf.DUMMYFUNCTION("""COMPUTED_VALUE"""),"")</f>
        <v/>
      </c>
      <c r="AG537" s="27"/>
      <c r="AH537" s="27"/>
      <c r="AI537" s="27"/>
    </row>
    <row r="538" hidden="1" outlineLevel="1">
      <c r="A538" s="27" t="s">
        <v>231</v>
      </c>
      <c r="B538" s="30" t="s">
        <v>1591</v>
      </c>
      <c r="C538" s="27" t="s">
        <v>1592</v>
      </c>
      <c r="D538" s="27"/>
      <c r="E538" s="27"/>
      <c r="F538" s="27"/>
      <c r="G538" s="27"/>
      <c r="H538" s="27"/>
      <c r="I538" s="27"/>
      <c r="J538" s="27"/>
      <c r="K538" s="27"/>
      <c r="L538" s="27" t="s">
        <v>308</v>
      </c>
      <c r="M538" s="27"/>
      <c r="O538" s="27"/>
      <c r="P538" s="27"/>
      <c r="W538" s="13" t="s">
        <v>1593</v>
      </c>
      <c r="Y538" s="13" t="s">
        <v>1593</v>
      </c>
      <c r="AA538" s="13" t="b">
        <v>0</v>
      </c>
      <c r="AB538" s="13" t="b">
        <v>0</v>
      </c>
      <c r="AC538" s="13" t="b">
        <v>0</v>
      </c>
      <c r="AE538" s="27"/>
      <c r="AF538" s="27" t="str">
        <f>IFERROR(__xludf.DUMMYFUNCTION("""COMPUTED_VALUE"""),"")</f>
        <v/>
      </c>
      <c r="AG538" s="27"/>
      <c r="AH538" s="27"/>
      <c r="AI538" s="27"/>
    </row>
    <row r="539" hidden="1" outlineLevel="1">
      <c r="A539" s="27" t="s">
        <v>231</v>
      </c>
      <c r="B539" s="30" t="s">
        <v>1594</v>
      </c>
      <c r="C539" s="27" t="s">
        <v>1595</v>
      </c>
      <c r="D539" s="27"/>
      <c r="E539" s="27"/>
      <c r="F539" s="27"/>
      <c r="G539" s="27"/>
      <c r="H539" s="27"/>
      <c r="I539" s="27"/>
      <c r="J539" s="27"/>
      <c r="K539" s="27"/>
      <c r="L539" s="27" t="s">
        <v>308</v>
      </c>
      <c r="M539" s="27"/>
      <c r="O539" s="27"/>
      <c r="P539" s="27"/>
      <c r="W539" s="13" t="s">
        <v>1596</v>
      </c>
      <c r="Y539" s="13" t="s">
        <v>1596</v>
      </c>
      <c r="AA539" s="13" t="b">
        <v>0</v>
      </c>
      <c r="AB539" s="13" t="b">
        <v>0</v>
      </c>
      <c r="AC539" s="13" t="b">
        <v>0</v>
      </c>
      <c r="AE539" s="27"/>
      <c r="AF539" s="27" t="str">
        <f>IFERROR(__xludf.DUMMYFUNCTION("""COMPUTED_VALUE"""),"")</f>
        <v/>
      </c>
      <c r="AG539" s="27"/>
      <c r="AH539" s="27"/>
      <c r="AI539" s="27"/>
    </row>
    <row r="540">
      <c r="A540" s="27" t="s">
        <v>283</v>
      </c>
      <c r="B540" s="30"/>
      <c r="C540" s="27"/>
      <c r="D540" s="27"/>
      <c r="E540" s="27"/>
      <c r="F540" s="27"/>
      <c r="G540" s="27"/>
      <c r="H540" s="27"/>
      <c r="I540" s="27"/>
      <c r="J540" s="27"/>
      <c r="K540" s="27"/>
      <c r="L540" s="27"/>
      <c r="M540" s="27"/>
      <c r="N540" s="13"/>
      <c r="O540" s="27"/>
      <c r="P540" s="27"/>
      <c r="Q540" s="13"/>
      <c r="R540" s="13"/>
      <c r="S540" s="13"/>
      <c r="T540" s="13"/>
      <c r="U540" s="13"/>
      <c r="V540" s="13"/>
      <c r="W540" s="13"/>
      <c r="X540" s="13"/>
      <c r="Y540" s="13" t="s">
        <v>45</v>
      </c>
      <c r="Z540" s="13"/>
      <c r="AA540" s="13" t="b">
        <v>0</v>
      </c>
      <c r="AB540" s="13" t="b">
        <v>0</v>
      </c>
      <c r="AC540" s="13" t="b">
        <v>0</v>
      </c>
      <c r="AD540" s="13"/>
      <c r="AE540" s="27"/>
      <c r="AF540" s="27" t="str">
        <f>IFERROR(__xludf.DUMMYFUNCTION("""COMPUTED_VALUE"""),"")</f>
        <v/>
      </c>
      <c r="AG540" s="27"/>
      <c r="AH540" s="27"/>
      <c r="AI540" s="27"/>
    </row>
    <row r="541">
      <c r="A541" s="27"/>
      <c r="B541" s="30"/>
      <c r="C541" s="27"/>
      <c r="D541" s="27"/>
      <c r="E541" s="27"/>
      <c r="F541" s="27"/>
      <c r="G541" s="27"/>
      <c r="H541" s="27"/>
      <c r="I541" s="27"/>
      <c r="J541" s="27"/>
      <c r="K541" s="27"/>
      <c r="L541" s="27"/>
      <c r="M541" s="27"/>
      <c r="O541" s="27"/>
      <c r="P541" s="27"/>
      <c r="Y541" s="13" t="s">
        <v>45</v>
      </c>
      <c r="AA541" s="13" t="b">
        <v>0</v>
      </c>
      <c r="AB541" s="13" t="b">
        <v>0</v>
      </c>
      <c r="AC541" s="13" t="b">
        <v>0</v>
      </c>
      <c r="AE541" s="27"/>
      <c r="AF541" s="27" t="str">
        <f>IFERROR(__xludf.DUMMYFUNCTION("""COMPUTED_VALUE"""),"")</f>
        <v/>
      </c>
      <c r="AG541" s="27"/>
      <c r="AH541" s="27"/>
      <c r="AI541" s="27"/>
    </row>
    <row r="542">
      <c r="A542" s="27"/>
      <c r="B542" s="30"/>
      <c r="C542" s="27"/>
      <c r="D542" s="27"/>
      <c r="E542" s="27"/>
      <c r="F542" s="27"/>
      <c r="G542" s="27"/>
      <c r="H542" s="27"/>
      <c r="I542" s="27"/>
      <c r="J542" s="27"/>
      <c r="K542" s="27"/>
      <c r="L542" s="27"/>
      <c r="M542" s="27"/>
      <c r="O542" s="27"/>
      <c r="P542" s="27"/>
      <c r="AA542" s="13" t="b">
        <v>0</v>
      </c>
      <c r="AB542" s="13" t="b">
        <v>0</v>
      </c>
      <c r="AC542" s="13" t="b">
        <v>0</v>
      </c>
      <c r="AE542" s="27"/>
      <c r="AF542" s="27" t="str">
        <f>IFERROR(__xludf.DUMMYFUNCTION("""COMPUTED_VALUE"""),"")</f>
        <v/>
      </c>
      <c r="AG542" s="27"/>
      <c r="AH542" s="27"/>
      <c r="AI542" s="27"/>
    </row>
    <row r="543" collapsed="1">
      <c r="A543" s="27" t="s">
        <v>113</v>
      </c>
      <c r="B543" s="30" t="s">
        <v>1597</v>
      </c>
      <c r="C543" s="27"/>
      <c r="D543" s="27" t="s">
        <v>1598</v>
      </c>
      <c r="E543" s="27"/>
      <c r="F543" s="27"/>
      <c r="G543" s="27"/>
      <c r="H543" s="27"/>
      <c r="I543" s="27"/>
      <c r="J543" s="27"/>
      <c r="K543" s="27"/>
      <c r="L543" s="27"/>
      <c r="M543" s="27"/>
      <c r="N543" s="13"/>
      <c r="O543" s="27"/>
      <c r="P543" s="27"/>
      <c r="Q543" s="13"/>
      <c r="R543" s="13"/>
      <c r="S543" s="13"/>
      <c r="T543" s="13"/>
      <c r="U543" s="13"/>
      <c r="V543" s="13"/>
      <c r="W543" s="13"/>
      <c r="X543" s="13"/>
      <c r="Y543" s="13"/>
      <c r="Z543" s="13"/>
      <c r="AA543" s="13" t="b">
        <v>0</v>
      </c>
      <c r="AB543" s="13" t="b">
        <v>0</v>
      </c>
      <c r="AC543" s="13" t="b">
        <v>0</v>
      </c>
      <c r="AD543" s="13"/>
      <c r="AE543" s="27"/>
      <c r="AF543" s="27" t="str">
        <f>IFERROR(__xludf.DUMMYFUNCTION("""COMPUTED_VALUE"""),"")</f>
        <v/>
      </c>
      <c r="AG543" s="27"/>
      <c r="AH543" s="27"/>
      <c r="AI543" s="27"/>
    </row>
    <row r="544" hidden="1" outlineLevel="1">
      <c r="A544" s="27" t="s">
        <v>792</v>
      </c>
      <c r="B544" s="30" t="s">
        <v>1599</v>
      </c>
      <c r="C544" s="27" t="s">
        <v>1600</v>
      </c>
      <c r="D544" s="27"/>
      <c r="E544" s="27"/>
      <c r="F544" s="27"/>
      <c r="G544" s="27"/>
      <c r="H544" s="27"/>
      <c r="I544" s="27"/>
      <c r="J544" s="27"/>
      <c r="K544" s="27"/>
      <c r="L544" s="27"/>
      <c r="M544" s="27"/>
      <c r="O544" s="27"/>
      <c r="P544" s="27"/>
      <c r="W544" s="13" t="s">
        <v>1601</v>
      </c>
      <c r="Y544" s="13" t="s">
        <v>1601</v>
      </c>
      <c r="AA544" s="13" t="b">
        <v>0</v>
      </c>
      <c r="AB544" s="13" t="b">
        <v>0</v>
      </c>
      <c r="AC544" s="13" t="b">
        <v>0</v>
      </c>
      <c r="AE544" s="27"/>
      <c r="AF544" s="27" t="str">
        <f>IFERROR(__xludf.DUMMYFUNCTION("""COMPUTED_VALUE"""),"quick,likert,map,minimal,search,columns-pack,columns,columns-n,no-buttons,image-map,label,list-nolabel,list")</f>
        <v>quick,likert,map,minimal,search,columns-pack,columns,columns-n,no-buttons,image-map,label,list-nolabel,list</v>
      </c>
      <c r="AG544" s="27"/>
      <c r="AH544" s="27"/>
      <c r="AI544" s="27"/>
    </row>
    <row r="545" hidden="1" outlineLevel="1">
      <c r="A545" s="27" t="s">
        <v>341</v>
      </c>
      <c r="B545" s="30" t="s">
        <v>1602</v>
      </c>
      <c r="C545" s="27" t="s">
        <v>1603</v>
      </c>
      <c r="D545" s="27"/>
      <c r="E545" s="27"/>
      <c r="F545" s="27"/>
      <c r="G545" s="27"/>
      <c r="H545" s="27"/>
      <c r="I545" s="27"/>
      <c r="J545" s="27" t="s">
        <v>82</v>
      </c>
      <c r="K545" s="27"/>
      <c r="L545" s="27"/>
      <c r="M545" s="27"/>
      <c r="O545" s="27"/>
      <c r="P545" s="27"/>
      <c r="W545" s="13" t="s">
        <v>1604</v>
      </c>
      <c r="Y545" s="13" t="s">
        <v>1604</v>
      </c>
      <c r="AA545" s="13" t="b">
        <v>0</v>
      </c>
      <c r="AB545" s="13" t="b">
        <v>0</v>
      </c>
      <c r="AC545" s="13" t="b">
        <v>0</v>
      </c>
      <c r="AE545" s="27"/>
      <c r="AF545" s="27" t="str">
        <f>IFERROR(__xludf.DUMMYFUNCTION("""COMPUTED_VALUE"""),"no-calendar,month-year,year,ethiopian,coptic,islamic,bikram-sambat,myanmar,persian")</f>
        <v>no-calendar,month-year,year,ethiopian,coptic,islamic,bikram-sambat,myanmar,persian</v>
      </c>
      <c r="AG545" s="27"/>
      <c r="AH545" s="27"/>
      <c r="AI545" s="27"/>
    </row>
    <row r="546" hidden="1" outlineLevel="1">
      <c r="A546" s="27" t="s">
        <v>341</v>
      </c>
      <c r="B546" s="30" t="s">
        <v>1605</v>
      </c>
      <c r="C546" s="27" t="s">
        <v>1606</v>
      </c>
      <c r="D546" s="27"/>
      <c r="E546" s="27"/>
      <c r="F546" s="27"/>
      <c r="G546" s="27"/>
      <c r="H546" s="27"/>
      <c r="I546" s="27"/>
      <c r="J546" s="27" t="s">
        <v>82</v>
      </c>
      <c r="K546" s="27"/>
      <c r="L546" s="27"/>
      <c r="M546" s="27"/>
      <c r="O546" s="27"/>
      <c r="P546" s="27"/>
      <c r="W546" s="13" t="s">
        <v>1607</v>
      </c>
      <c r="Y546" s="13" t="s">
        <v>1607</v>
      </c>
      <c r="AA546" s="13" t="b">
        <v>0</v>
      </c>
      <c r="AB546" s="13" t="b">
        <v>0</v>
      </c>
      <c r="AC546" s="13" t="b">
        <v>0</v>
      </c>
      <c r="AE546" s="27"/>
      <c r="AF546" s="27" t="str">
        <f>IFERROR(__xludf.DUMMYFUNCTION("""COMPUTED_VALUE"""),"no-calendar,month-year,year,ethiopian,coptic,islamic,bikram-sambat,myanmar,persian")</f>
        <v>no-calendar,month-year,year,ethiopian,coptic,islamic,bikram-sambat,myanmar,persian</v>
      </c>
      <c r="AG546" s="27"/>
      <c r="AH546" s="27"/>
      <c r="AI546" s="27"/>
    </row>
    <row r="547" hidden="1" outlineLevel="1">
      <c r="A547" s="27" t="s">
        <v>770</v>
      </c>
      <c r="B547" s="30" t="s">
        <v>1608</v>
      </c>
      <c r="C547" s="27" t="s">
        <v>1609</v>
      </c>
      <c r="D547" s="27" t="s">
        <v>1610</v>
      </c>
      <c r="E547" s="27"/>
      <c r="F547" s="27"/>
      <c r="G547" s="27"/>
      <c r="H547" s="27"/>
      <c r="I547" s="27"/>
      <c r="J547" s="27"/>
      <c r="K547" s="27"/>
      <c r="L547" s="27"/>
      <c r="M547" s="27"/>
      <c r="O547" s="27"/>
      <c r="P547" s="27"/>
      <c r="W547" s="13" t="s">
        <v>1611</v>
      </c>
      <c r="Y547" s="13" t="s">
        <v>1611</v>
      </c>
      <c r="AA547" s="13" t="b">
        <v>0</v>
      </c>
      <c r="AB547" s="13" t="b">
        <v>0</v>
      </c>
      <c r="AC547" s="13" t="b">
        <v>0</v>
      </c>
      <c r="AE547" s="27"/>
      <c r="AF547" s="27" t="str">
        <f>IFERROR(__xludf.DUMMYFUNCTION("""COMPUTED_VALUE"""),"ex:,thousands-sep,bearing")</f>
        <v>ex:,thousands-sep,bearing</v>
      </c>
      <c r="AG547" s="27"/>
      <c r="AH547" s="27"/>
      <c r="AI547" s="27"/>
    </row>
    <row r="548" hidden="1" outlineLevel="1">
      <c r="A548" s="27" t="s">
        <v>150</v>
      </c>
      <c r="B548" s="30" t="s">
        <v>1612</v>
      </c>
      <c r="C548" s="27" t="s">
        <v>1613</v>
      </c>
      <c r="D548" s="27" t="s">
        <v>1610</v>
      </c>
      <c r="E548" s="27" t="s">
        <v>1614</v>
      </c>
      <c r="F548" s="27"/>
      <c r="G548" s="27"/>
      <c r="H548" s="27"/>
      <c r="I548" s="27"/>
      <c r="J548" s="27"/>
      <c r="K548" s="27"/>
      <c r="L548" s="27"/>
      <c r="M548" s="27"/>
      <c r="O548" s="27"/>
      <c r="P548" s="27"/>
      <c r="W548" s="13" t="s">
        <v>1615</v>
      </c>
      <c r="Y548" s="13" t="s">
        <v>1615</v>
      </c>
      <c r="AA548" s="13" t="b">
        <v>0</v>
      </c>
      <c r="AB548" s="13" t="b">
        <v>0</v>
      </c>
      <c r="AC548" s="13" t="b">
        <v>0</v>
      </c>
      <c r="AE548" s="27"/>
      <c r="AF548" s="27" t="str">
        <f>IFERROR(__xludf.DUMMYFUNCTION("""COMPUTED_VALUE"""),"ex:,thousands-sep,counter")</f>
        <v>ex:,thousands-sep,counter</v>
      </c>
      <c r="AG548" s="27"/>
      <c r="AH548" s="27"/>
      <c r="AI548" s="27"/>
    </row>
    <row r="549">
      <c r="A549" s="27" t="s">
        <v>283</v>
      </c>
      <c r="B549" s="30"/>
      <c r="C549" s="27"/>
      <c r="D549" s="27"/>
      <c r="E549" s="27"/>
      <c r="F549" s="27"/>
      <c r="G549" s="27"/>
      <c r="H549" s="27"/>
      <c r="I549" s="27"/>
      <c r="J549" s="27"/>
      <c r="K549" s="27"/>
      <c r="L549" s="27"/>
      <c r="M549" s="27"/>
      <c r="N549" s="13"/>
      <c r="O549" s="27"/>
      <c r="P549" s="27"/>
      <c r="Q549" s="13"/>
      <c r="R549" s="13"/>
      <c r="S549" s="13"/>
      <c r="T549" s="13"/>
      <c r="U549" s="13"/>
      <c r="V549" s="13"/>
      <c r="W549" s="13"/>
      <c r="X549" s="13"/>
      <c r="Y549" s="13" t="s">
        <v>45</v>
      </c>
      <c r="Z549" s="13"/>
      <c r="AA549" s="13" t="b">
        <v>0</v>
      </c>
      <c r="AB549" s="13" t="b">
        <v>0</v>
      </c>
      <c r="AC549" s="13" t="b">
        <v>0</v>
      </c>
      <c r="AD549" s="13"/>
      <c r="AE549" s="27"/>
      <c r="AF549" s="27" t="str">
        <f>IFERROR(__xludf.DUMMYFUNCTION("""COMPUTED_VALUE"""),"")</f>
        <v/>
      </c>
      <c r="AG549" s="27"/>
      <c r="AH549" s="27"/>
      <c r="AI549" s="27"/>
    </row>
    <row r="550">
      <c r="A550" s="27"/>
      <c r="B550" s="30"/>
      <c r="C550" s="27"/>
      <c r="D550" s="27"/>
      <c r="E550" s="27"/>
      <c r="F550" s="27"/>
      <c r="G550" s="27"/>
      <c r="H550" s="27"/>
      <c r="I550" s="27"/>
      <c r="J550" s="27"/>
      <c r="K550" s="27"/>
      <c r="L550" s="27"/>
      <c r="M550" s="27"/>
      <c r="O550" s="27"/>
      <c r="P550" s="27"/>
      <c r="AA550" s="13" t="b">
        <v>0</v>
      </c>
      <c r="AB550" s="13" t="b">
        <v>0</v>
      </c>
      <c r="AC550" s="13" t="b">
        <v>0</v>
      </c>
      <c r="AE550" s="27"/>
      <c r="AF550" s="27" t="str">
        <f>IFERROR(__xludf.DUMMYFUNCTION("""COMPUTED_VALUE"""),"")</f>
        <v/>
      </c>
      <c r="AG550" s="27"/>
      <c r="AH550" s="27"/>
      <c r="AI550" s="27"/>
    </row>
    <row r="551" collapsed="1">
      <c r="A551" s="27" t="s">
        <v>113</v>
      </c>
      <c r="B551" s="30" t="s">
        <v>1616</v>
      </c>
      <c r="C551" s="27"/>
      <c r="D551" s="27" t="s">
        <v>1617</v>
      </c>
      <c r="E551" s="27" t="s">
        <v>116</v>
      </c>
      <c r="F551" s="27"/>
      <c r="G551" s="27"/>
      <c r="H551" s="27"/>
      <c r="I551" s="27"/>
      <c r="J551" s="27"/>
      <c r="K551" s="27"/>
      <c r="L551" s="27"/>
      <c r="M551" s="27"/>
      <c r="N551" s="13"/>
      <c r="O551" s="27"/>
      <c r="P551" s="27"/>
      <c r="Q551" s="13"/>
      <c r="R551" s="13"/>
      <c r="S551" s="13"/>
      <c r="T551" s="13"/>
      <c r="U551" s="13"/>
      <c r="V551" s="13"/>
      <c r="W551" s="13"/>
      <c r="X551" s="13"/>
      <c r="Y551" s="13"/>
      <c r="Z551" s="13"/>
      <c r="AA551" s="13" t="b">
        <v>0</v>
      </c>
      <c r="AB551" s="13" t="b">
        <v>0</v>
      </c>
      <c r="AC551" s="13" t="b">
        <v>0</v>
      </c>
      <c r="AD551" s="13"/>
      <c r="AE551" s="27"/>
      <c r="AF551" s="27" t="str">
        <f>IFERROR(__xludf.DUMMYFUNCTION("""COMPUTED_VALUE"""),"")</f>
        <v/>
      </c>
      <c r="AG551" s="27"/>
      <c r="AH551" s="27"/>
      <c r="AI551" s="27"/>
    </row>
    <row r="552" hidden="1" outlineLevel="1">
      <c r="A552" s="27" t="s">
        <v>324</v>
      </c>
      <c r="B552" s="30" t="s">
        <v>1618</v>
      </c>
      <c r="C552" s="27" t="s">
        <v>1619</v>
      </c>
      <c r="D552" s="27"/>
      <c r="E552" s="27"/>
      <c r="F552" s="27"/>
      <c r="G552" s="27" t="s">
        <v>107</v>
      </c>
      <c r="H552" s="27"/>
      <c r="I552" s="27"/>
      <c r="J552" s="27"/>
      <c r="K552" s="27"/>
      <c r="L552" s="27"/>
      <c r="M552" s="27"/>
      <c r="O552" s="27"/>
      <c r="P552" s="27"/>
      <c r="V552" s="13" t="s">
        <v>1620</v>
      </c>
      <c r="W552" s="13" t="s">
        <v>1621</v>
      </c>
      <c r="Y552" s="13" t="s">
        <v>1621</v>
      </c>
      <c r="AA552" s="13" t="b">
        <v>0</v>
      </c>
      <c r="AB552" s="13" t="b">
        <v>0</v>
      </c>
      <c r="AC552" s="13" t="b">
        <v>0</v>
      </c>
      <c r="AE552" s="27"/>
      <c r="AF552" s="27" t="str">
        <f>IFERROR(__xludf.DUMMYFUNCTION("""COMPUTED_VALUE"""),"quick,likert,map,minimal,search,columns-pack,columns,columns-n,no-buttons,image-map,label,list-nolabel,list")</f>
        <v>quick,likert,map,minimal,search,columns-pack,columns,columns-n,no-buttons,image-map,label,list-nolabel,list</v>
      </c>
      <c r="AG552" s="27"/>
      <c r="AH552" s="27"/>
      <c r="AI552" s="27"/>
    </row>
    <row r="553" hidden="1" outlineLevel="1">
      <c r="A553" s="27" t="s">
        <v>183</v>
      </c>
      <c r="B553" s="30" t="s">
        <v>1622</v>
      </c>
      <c r="C553" s="27" t="s">
        <v>1623</v>
      </c>
      <c r="D553" s="27"/>
      <c r="E553" s="27"/>
      <c r="F553" s="27"/>
      <c r="G553" s="27" t="s">
        <v>107</v>
      </c>
      <c r="H553" s="27"/>
      <c r="I553" s="27"/>
      <c r="J553" s="27"/>
      <c r="K553" s="27"/>
      <c r="L553" s="27"/>
      <c r="M553" s="27"/>
      <c r="O553" s="27"/>
      <c r="P553" s="27"/>
      <c r="V553" s="13" t="s">
        <v>1624</v>
      </c>
      <c r="W553" s="13" t="s">
        <v>1625</v>
      </c>
      <c r="Y553" s="13" t="s">
        <v>1625</v>
      </c>
      <c r="AA553" s="13" t="b">
        <v>0</v>
      </c>
      <c r="AB553" s="13" t="b">
        <v>0</v>
      </c>
      <c r="AC553" s="13" t="b">
        <v>0</v>
      </c>
      <c r="AE553" s="27"/>
      <c r="AF553" s="27" t="str">
        <f>IFERROR(__xludf.DUMMYFUNCTION("""COMPUTED_VALUE"""),"placement-map,maps,hide-input")</f>
        <v>placement-map,maps,hide-input</v>
      </c>
      <c r="AG553" s="27"/>
      <c r="AH553" s="27"/>
      <c r="AI553" s="27"/>
    </row>
    <row r="554" hidden="1" outlineLevel="1">
      <c r="A554" s="27" t="s">
        <v>231</v>
      </c>
      <c r="B554" s="30" t="s">
        <v>1626</v>
      </c>
      <c r="C554" s="27" t="s">
        <v>1627</v>
      </c>
      <c r="D554" s="27"/>
      <c r="E554" s="27"/>
      <c r="F554" s="27"/>
      <c r="G554" s="27" t="s">
        <v>107</v>
      </c>
      <c r="H554" s="27"/>
      <c r="I554" s="27"/>
      <c r="J554" s="27"/>
      <c r="K554" s="27"/>
      <c r="L554" s="27" t="s">
        <v>308</v>
      </c>
      <c r="M554" s="27"/>
      <c r="O554" s="27"/>
      <c r="P554" s="27"/>
      <c r="V554" s="13" t="s">
        <v>1628</v>
      </c>
      <c r="W554" s="13" t="s">
        <v>1629</v>
      </c>
      <c r="Y554" s="13" t="s">
        <v>1629</v>
      </c>
      <c r="AA554" s="13" t="b">
        <v>0</v>
      </c>
      <c r="AB554" s="13" t="b">
        <v>0</v>
      </c>
      <c r="AC554" s="13" t="b">
        <v>0</v>
      </c>
      <c r="AE554" s="27"/>
      <c r="AF554" s="27" t="str">
        <f>IFERROR(__xludf.DUMMYFUNCTION("""COMPUTED_VALUE"""),"")</f>
        <v/>
      </c>
      <c r="AG554" s="27"/>
      <c r="AH554" s="27"/>
      <c r="AI554" s="27"/>
    </row>
    <row r="555">
      <c r="A555" s="27" t="s">
        <v>283</v>
      </c>
      <c r="B555" s="30" t="s">
        <v>1616</v>
      </c>
      <c r="C555" s="27"/>
      <c r="D555" s="27"/>
      <c r="E555" s="27"/>
      <c r="F555" s="27"/>
      <c r="G555" s="27"/>
      <c r="H555" s="27"/>
      <c r="I555" s="27"/>
      <c r="J555" s="27"/>
      <c r="K555" s="27"/>
      <c r="L555" s="27"/>
      <c r="M555" s="27"/>
      <c r="N555" s="13"/>
      <c r="O555" s="27"/>
      <c r="P555" s="27"/>
      <c r="Q555" s="13"/>
      <c r="R555" s="13"/>
      <c r="S555" s="13"/>
      <c r="T555" s="13"/>
      <c r="U555" s="13"/>
      <c r="V555" s="13"/>
      <c r="W555" s="13"/>
      <c r="X555" s="13"/>
      <c r="Y555" s="13" t="s">
        <v>45</v>
      </c>
      <c r="Z555" s="13"/>
      <c r="AA555" s="13" t="b">
        <v>0</v>
      </c>
      <c r="AB555" s="13" t="b">
        <v>0</v>
      </c>
      <c r="AC555" s="13" t="b">
        <v>0</v>
      </c>
      <c r="AD555" s="13"/>
      <c r="AE555" s="27"/>
      <c r="AF555" s="27" t="str">
        <f>IFERROR(__xludf.DUMMYFUNCTION("""COMPUTED_VALUE"""),"")</f>
        <v/>
      </c>
      <c r="AG555" s="27"/>
      <c r="AH555" s="27"/>
      <c r="AI555" s="27"/>
    </row>
    <row r="556">
      <c r="A556" s="27"/>
      <c r="B556" s="30"/>
      <c r="C556" s="27"/>
      <c r="D556" s="27"/>
      <c r="E556" s="27"/>
      <c r="F556" s="27"/>
      <c r="G556" s="27"/>
      <c r="H556" s="27"/>
      <c r="I556" s="27"/>
      <c r="J556" s="27"/>
      <c r="K556" s="27"/>
      <c r="L556" s="27"/>
      <c r="M556" s="27"/>
      <c r="O556" s="27"/>
      <c r="P556" s="27"/>
      <c r="AA556" s="13" t="b">
        <v>0</v>
      </c>
      <c r="AB556" s="13" t="b">
        <v>0</v>
      </c>
      <c r="AC556" s="13" t="b">
        <v>0</v>
      </c>
      <c r="AE556" s="27"/>
      <c r="AF556" s="27" t="str">
        <f>IFERROR(__xludf.DUMMYFUNCTION("""COMPUTED_VALUE"""),"")</f>
        <v/>
      </c>
      <c r="AG556" s="27"/>
      <c r="AH556" s="27"/>
      <c r="AI556" s="27"/>
    </row>
    <row r="557">
      <c r="A557" s="27"/>
      <c r="B557" s="30"/>
      <c r="C557" s="27"/>
      <c r="D557" s="27"/>
      <c r="E557" s="27"/>
      <c r="F557" s="27"/>
      <c r="G557" s="27"/>
      <c r="H557" s="27"/>
      <c r="I557" s="27"/>
      <c r="J557" s="27"/>
      <c r="K557" s="27"/>
      <c r="L557" s="27"/>
      <c r="M557" s="27"/>
      <c r="O557" s="27"/>
      <c r="P557" s="27"/>
      <c r="AA557" s="13" t="b">
        <v>0</v>
      </c>
      <c r="AB557" s="13" t="b">
        <v>0</v>
      </c>
      <c r="AC557" s="13" t="b">
        <v>0</v>
      </c>
      <c r="AE557" s="27"/>
      <c r="AF557" s="27" t="str">
        <f>IFERROR(__xludf.DUMMYFUNCTION("""COMPUTED_VALUE"""),"")</f>
        <v/>
      </c>
      <c r="AG557" s="27"/>
      <c r="AH557" s="27"/>
      <c r="AI557" s="27"/>
    </row>
    <row r="558">
      <c r="A558" s="27" t="s">
        <v>324</v>
      </c>
      <c r="B558" s="30" t="s">
        <v>1630</v>
      </c>
      <c r="C558" s="27" t="s">
        <v>1631</v>
      </c>
      <c r="D558" s="27"/>
      <c r="E558" s="27" t="s">
        <v>106</v>
      </c>
      <c r="F558" s="27"/>
      <c r="G558" s="27" t="s">
        <v>107</v>
      </c>
      <c r="H558" s="27"/>
      <c r="I558" s="27"/>
      <c r="J558" s="27" t="s">
        <v>176</v>
      </c>
      <c r="K558" s="27"/>
      <c r="L558" s="27"/>
      <c r="M558" s="27"/>
      <c r="O558" s="27"/>
      <c r="P558" s="27"/>
      <c r="V558" s="13" t="s">
        <v>1632</v>
      </c>
      <c r="W558" s="13" t="s">
        <v>1633</v>
      </c>
      <c r="Y558" s="13" t="s">
        <v>1633</v>
      </c>
      <c r="Z558" s="13" t="s">
        <v>1634</v>
      </c>
      <c r="AA558" s="13" t="b">
        <v>0</v>
      </c>
      <c r="AB558" s="13" t="b">
        <v>0</v>
      </c>
      <c r="AC558" s="13" t="b">
        <v>0</v>
      </c>
      <c r="AE558" s="27"/>
      <c r="AF558" s="27" t="str">
        <f>IFERROR(__xludf.DUMMYFUNCTION("""COMPUTED_VALUE"""),"quick,likert,map,minimal,search,columns-pack,columns,columns-n,no-buttons,image-map,label,list-nolabel,list")</f>
        <v>quick,likert,map,minimal,search,columns-pack,columns,columns-n,no-buttons,image-map,label,list-nolabel,list</v>
      </c>
      <c r="AG558" s="27"/>
      <c r="AH558" s="27"/>
      <c r="AI558" s="27"/>
    </row>
    <row r="559">
      <c r="A559" s="27"/>
      <c r="B559" s="30"/>
      <c r="C559" s="27"/>
      <c r="D559" s="27"/>
      <c r="E559" s="27"/>
      <c r="F559" s="27"/>
      <c r="G559" s="27"/>
      <c r="H559" s="27"/>
      <c r="I559" s="27"/>
      <c r="J559" s="27"/>
      <c r="K559" s="27"/>
      <c r="L559" s="27"/>
      <c r="M559" s="27"/>
      <c r="O559" s="27"/>
      <c r="P559" s="27"/>
      <c r="Y559" s="13" t="s">
        <v>45</v>
      </c>
      <c r="AA559" s="13" t="b">
        <v>0</v>
      </c>
      <c r="AB559" s="13" t="b">
        <v>0</v>
      </c>
      <c r="AC559" s="13" t="b">
        <v>0</v>
      </c>
      <c r="AE559" s="27"/>
      <c r="AF559" s="27" t="str">
        <f>IFERROR(__xludf.DUMMYFUNCTION("""COMPUTED_VALUE"""),"")</f>
        <v/>
      </c>
      <c r="AG559" s="27"/>
      <c r="AH559" s="27"/>
      <c r="AI559" s="27"/>
    </row>
    <row r="560">
      <c r="A560" s="27"/>
      <c r="B560" s="30"/>
      <c r="C560" s="27"/>
      <c r="D560" s="27"/>
      <c r="E560" s="27"/>
      <c r="F560" s="27"/>
      <c r="G560" s="27"/>
      <c r="H560" s="27"/>
      <c r="I560" s="27"/>
      <c r="J560" s="27"/>
      <c r="K560" s="27"/>
      <c r="L560" s="27"/>
      <c r="M560" s="27"/>
      <c r="O560" s="27"/>
      <c r="P560" s="27"/>
      <c r="Y560" s="13" t="s">
        <v>45</v>
      </c>
      <c r="AA560" s="13" t="b">
        <v>0</v>
      </c>
      <c r="AB560" s="13" t="b">
        <v>0</v>
      </c>
      <c r="AC560" s="13" t="b">
        <v>0</v>
      </c>
      <c r="AE560" s="27"/>
      <c r="AF560" s="27" t="str">
        <f>IFERROR(__xludf.DUMMYFUNCTION("""COMPUTED_VALUE"""),"")</f>
        <v/>
      </c>
      <c r="AG560" s="27"/>
      <c r="AH560" s="27"/>
      <c r="AI560" s="27"/>
    </row>
    <row r="561" collapsed="1">
      <c r="A561" s="27" t="s">
        <v>113</v>
      </c>
      <c r="B561" s="30" t="s">
        <v>1635</v>
      </c>
      <c r="C561" s="27"/>
      <c r="D561" s="27" t="s">
        <v>1636</v>
      </c>
      <c r="E561" s="27" t="s">
        <v>116</v>
      </c>
      <c r="F561" s="27"/>
      <c r="G561" s="27"/>
      <c r="H561" s="27"/>
      <c r="I561" s="27"/>
      <c r="J561" s="27"/>
      <c r="K561" s="27"/>
      <c r="L561" s="27"/>
      <c r="M561" s="27"/>
      <c r="N561" s="13"/>
      <c r="O561" s="27"/>
      <c r="P561" s="27"/>
      <c r="Q561" s="13"/>
      <c r="R561" s="13"/>
      <c r="S561" s="13"/>
      <c r="T561" s="13"/>
      <c r="U561" s="13"/>
      <c r="V561" s="13"/>
      <c r="W561" s="13"/>
      <c r="X561" s="13"/>
      <c r="Y561" s="13" t="s">
        <v>45</v>
      </c>
      <c r="Z561" s="13"/>
      <c r="AA561" s="13" t="b">
        <v>0</v>
      </c>
      <c r="AB561" s="13" t="b">
        <v>0</v>
      </c>
      <c r="AC561" s="13" t="b">
        <v>0</v>
      </c>
      <c r="AD561" s="13"/>
      <c r="AE561" s="27"/>
      <c r="AF561" s="27" t="str">
        <f>IFERROR(__xludf.DUMMYFUNCTION("""COMPUTED_VALUE"""),"")</f>
        <v/>
      </c>
      <c r="AG561" s="27"/>
      <c r="AH561" s="27"/>
      <c r="AI561" s="27"/>
    </row>
    <row r="562" hidden="1" outlineLevel="1">
      <c r="A562" s="27" t="s">
        <v>193</v>
      </c>
      <c r="B562" s="30" t="s">
        <v>1637</v>
      </c>
      <c r="C562" s="27" t="s">
        <v>1638</v>
      </c>
      <c r="D562" s="27"/>
      <c r="E562" s="27"/>
      <c r="F562" s="27"/>
      <c r="G562" s="27"/>
      <c r="H562" s="27"/>
      <c r="I562" s="27"/>
      <c r="J562" s="27"/>
      <c r="K562" s="27"/>
      <c r="L562" s="27"/>
      <c r="M562" s="27"/>
      <c r="O562" s="27"/>
      <c r="P562" s="27"/>
      <c r="V562" s="13" t="s">
        <v>1639</v>
      </c>
      <c r="W562" s="13" t="s">
        <v>1640</v>
      </c>
      <c r="Y562" s="13" t="s">
        <v>1640</v>
      </c>
      <c r="Z562" s="13" t="s">
        <v>1641</v>
      </c>
      <c r="AA562" s="13" t="b">
        <v>0</v>
      </c>
      <c r="AB562" s="13" t="b">
        <v>0</v>
      </c>
      <c r="AC562" s="13" t="b">
        <v>0</v>
      </c>
      <c r="AE562" s="27"/>
      <c r="AF562" s="27" t="str">
        <f>IFERROR(__xludf.DUMMYFUNCTION("""COMPUTED_VALUE"""),"ex:,new")</f>
        <v>ex:,new</v>
      </c>
      <c r="AG562" s="27"/>
      <c r="AH562" s="27"/>
      <c r="AI562" s="27"/>
    </row>
    <row r="563" hidden="1" outlineLevel="1">
      <c r="A563" s="27" t="s">
        <v>193</v>
      </c>
      <c r="B563" s="30" t="s">
        <v>1642</v>
      </c>
      <c r="C563" s="27" t="s">
        <v>1643</v>
      </c>
      <c r="D563" s="27" t="s">
        <v>1644</v>
      </c>
      <c r="E563" s="27"/>
      <c r="F563" s="27"/>
      <c r="G563" s="27"/>
      <c r="H563" s="27"/>
      <c r="I563" s="27"/>
      <c r="J563" s="27"/>
      <c r="K563" s="27"/>
      <c r="L563" s="27"/>
      <c r="M563" s="27"/>
      <c r="O563" s="27"/>
      <c r="P563" s="27"/>
      <c r="V563" s="13" t="s">
        <v>1645</v>
      </c>
      <c r="W563" s="13" t="s">
        <v>1646</v>
      </c>
      <c r="Y563" s="13" t="s">
        <v>1646</v>
      </c>
      <c r="Z563" s="13" t="s">
        <v>1647</v>
      </c>
      <c r="AA563" s="13" t="b">
        <v>0</v>
      </c>
      <c r="AB563" s="13" t="b">
        <v>0</v>
      </c>
      <c r="AC563" s="13" t="b">
        <v>0</v>
      </c>
      <c r="AE563" s="27"/>
      <c r="AF563" s="27" t="str">
        <f>IFERROR(__xludf.DUMMYFUNCTION("""COMPUTED_VALUE"""),"ex:,new")</f>
        <v>ex:,new</v>
      </c>
      <c r="AG563" s="27"/>
      <c r="AH563" s="27"/>
      <c r="AI563" s="27"/>
    </row>
    <row r="564" hidden="1" outlineLevel="1">
      <c r="A564" s="27" t="s">
        <v>193</v>
      </c>
      <c r="B564" s="30" t="s">
        <v>1648</v>
      </c>
      <c r="C564" s="27" t="s">
        <v>1649</v>
      </c>
      <c r="D564" s="27" t="s">
        <v>1650</v>
      </c>
      <c r="E564" s="27"/>
      <c r="F564" s="27"/>
      <c r="G564" s="27"/>
      <c r="H564" s="27"/>
      <c r="I564" s="27"/>
      <c r="J564" s="27"/>
      <c r="K564" s="27"/>
      <c r="L564" s="27"/>
      <c r="M564" s="27"/>
      <c r="O564" s="27"/>
      <c r="P564" s="27"/>
      <c r="V564" s="13" t="s">
        <v>1645</v>
      </c>
      <c r="W564" s="13" t="s">
        <v>1651</v>
      </c>
      <c r="Y564" s="13" t="s">
        <v>1651</v>
      </c>
      <c r="Z564" s="13" t="s">
        <v>1652</v>
      </c>
      <c r="AA564" s="13" t="b">
        <v>0</v>
      </c>
      <c r="AB564" s="13" t="b">
        <v>0</v>
      </c>
      <c r="AC564" s="13" t="b">
        <v>0</v>
      </c>
      <c r="AE564" s="27"/>
      <c r="AF564" s="27" t="str">
        <f>IFERROR(__xludf.DUMMYFUNCTION("""COMPUTED_VALUE"""),"ex:,new")</f>
        <v>ex:,new</v>
      </c>
      <c r="AG564" s="27"/>
      <c r="AH564" s="27"/>
      <c r="AI564" s="27"/>
    </row>
    <row r="565" hidden="1" outlineLevel="1">
      <c r="A565" s="27" t="s">
        <v>193</v>
      </c>
      <c r="B565" s="30" t="s">
        <v>1653</v>
      </c>
      <c r="C565" s="27" t="s">
        <v>1654</v>
      </c>
      <c r="D565" s="27" t="s">
        <v>1655</v>
      </c>
      <c r="E565" s="27"/>
      <c r="F565" s="27"/>
      <c r="G565" s="27"/>
      <c r="H565" s="27"/>
      <c r="I565" s="27"/>
      <c r="J565" s="27"/>
      <c r="K565" s="27"/>
      <c r="L565" s="27"/>
      <c r="M565" s="27"/>
      <c r="O565" s="27"/>
      <c r="P565" s="27"/>
      <c r="V565" s="13" t="s">
        <v>1645</v>
      </c>
      <c r="W565" s="13" t="s">
        <v>1656</v>
      </c>
      <c r="Y565" s="13" t="s">
        <v>1656</v>
      </c>
      <c r="Z565" s="13" t="s">
        <v>1657</v>
      </c>
      <c r="AA565" s="13" t="b">
        <v>0</v>
      </c>
      <c r="AB565" s="13" t="b">
        <v>0</v>
      </c>
      <c r="AC565" s="13" t="b">
        <v>0</v>
      </c>
      <c r="AE565" s="27"/>
      <c r="AF565" s="27" t="str">
        <f>IFERROR(__xludf.DUMMYFUNCTION("""COMPUTED_VALUE"""),"ex:,new")</f>
        <v>ex:,new</v>
      </c>
      <c r="AG565" s="27"/>
      <c r="AH565" s="27"/>
      <c r="AI565" s="27"/>
    </row>
    <row r="566" hidden="1" outlineLevel="1">
      <c r="A566" s="27" t="s">
        <v>193</v>
      </c>
      <c r="B566" s="30" t="s">
        <v>1658</v>
      </c>
      <c r="C566" s="27" t="s">
        <v>1659</v>
      </c>
      <c r="D566" s="27" t="s">
        <v>1660</v>
      </c>
      <c r="E566" s="27"/>
      <c r="F566" s="27"/>
      <c r="G566" s="27"/>
      <c r="H566" s="27"/>
      <c r="I566" s="27"/>
      <c r="J566" s="27"/>
      <c r="K566" s="27"/>
      <c r="L566" s="27"/>
      <c r="M566" s="27"/>
      <c r="O566" s="27"/>
      <c r="P566" s="27"/>
      <c r="V566" s="13" t="s">
        <v>1645</v>
      </c>
      <c r="W566" s="13" t="s">
        <v>1661</v>
      </c>
      <c r="Y566" s="13" t="s">
        <v>1661</v>
      </c>
      <c r="Z566" s="13" t="s">
        <v>1662</v>
      </c>
      <c r="AA566" s="13" t="b">
        <v>0</v>
      </c>
      <c r="AB566" s="13" t="b">
        <v>0</v>
      </c>
      <c r="AC566" s="13" t="b">
        <v>0</v>
      </c>
      <c r="AE566" s="27"/>
      <c r="AF566" s="27" t="str">
        <f>IFERROR(__xludf.DUMMYFUNCTION("""COMPUTED_VALUE"""),"ex:,new")</f>
        <v>ex:,new</v>
      </c>
      <c r="AG566" s="27"/>
      <c r="AH566" s="27"/>
      <c r="AI566" s="27"/>
    </row>
    <row r="567" hidden="1" outlineLevel="1">
      <c r="A567" s="27" t="s">
        <v>78</v>
      </c>
      <c r="B567" s="30" t="s">
        <v>1663</v>
      </c>
      <c r="C567" s="27" t="s">
        <v>1664</v>
      </c>
      <c r="D567" s="27"/>
      <c r="E567" s="27"/>
      <c r="F567" s="27"/>
      <c r="G567" s="27"/>
      <c r="H567" s="27"/>
      <c r="I567" s="27"/>
      <c r="J567" s="27"/>
      <c r="K567" s="27"/>
      <c r="L567" s="27"/>
      <c r="M567" s="27"/>
      <c r="O567" s="27"/>
      <c r="P567" s="27"/>
      <c r="V567" s="13" t="s">
        <v>1665</v>
      </c>
      <c r="W567" s="13" t="s">
        <v>1666</v>
      </c>
      <c r="Y567" s="13" t="s">
        <v>1666</v>
      </c>
      <c r="Z567" s="13" t="s">
        <v>1667</v>
      </c>
      <c r="AA567" s="13" t="b">
        <v>0</v>
      </c>
      <c r="AB567" s="13" t="b">
        <v>0</v>
      </c>
      <c r="AC567" s="13" t="b">
        <v>0</v>
      </c>
      <c r="AE567" s="27"/>
      <c r="AF567" s="27" t="str">
        <f>IFERROR(__xludf.DUMMYFUNCTION("""COMPUTED_VALUE"""),"ex:,new")</f>
        <v>ex:,new</v>
      </c>
      <c r="AG567" s="27"/>
      <c r="AH567" s="27"/>
      <c r="AI567" s="27"/>
    </row>
    <row r="568" hidden="1" outlineLevel="1">
      <c r="A568" s="27" t="s">
        <v>231</v>
      </c>
      <c r="B568" s="30" t="s">
        <v>1668</v>
      </c>
      <c r="C568" s="27" t="s">
        <v>1669</v>
      </c>
      <c r="D568" s="27"/>
      <c r="E568" s="27"/>
      <c r="F568" s="27"/>
      <c r="G568" s="27"/>
      <c r="H568" s="27"/>
      <c r="I568" s="27"/>
      <c r="J568" s="27"/>
      <c r="K568" s="27"/>
      <c r="L568" s="27" t="s">
        <v>308</v>
      </c>
      <c r="M568" s="27"/>
      <c r="O568" s="27"/>
      <c r="P568" s="27"/>
      <c r="V568" s="13" t="s">
        <v>1645</v>
      </c>
      <c r="W568" s="13" t="s">
        <v>1670</v>
      </c>
      <c r="Y568" s="13" t="s">
        <v>1670</v>
      </c>
      <c r="Z568" s="13" t="s">
        <v>1671</v>
      </c>
      <c r="AA568" s="13" t="b">
        <v>0</v>
      </c>
      <c r="AB568" s="13" t="b">
        <v>0</v>
      </c>
      <c r="AC568" s="13" t="b">
        <v>0</v>
      </c>
      <c r="AE568" s="27"/>
      <c r="AF568" s="27" t="str">
        <f>IFERROR(__xludf.DUMMYFUNCTION("""COMPUTED_VALUE"""),"")</f>
        <v/>
      </c>
      <c r="AG568" s="27"/>
      <c r="AH568" s="27"/>
      <c r="AI568" s="27"/>
    </row>
    <row r="569" hidden="1" outlineLevel="1">
      <c r="A569" s="27" t="s">
        <v>231</v>
      </c>
      <c r="B569" s="30" t="s">
        <v>1672</v>
      </c>
      <c r="C569" s="27" t="s">
        <v>1643</v>
      </c>
      <c r="D569" s="27" t="s">
        <v>1673</v>
      </c>
      <c r="E569" s="27"/>
      <c r="F569" s="27"/>
      <c r="G569" s="27"/>
      <c r="H569" s="27"/>
      <c r="I569" s="27"/>
      <c r="J569" s="27"/>
      <c r="K569" s="27"/>
      <c r="L569" s="27" t="s">
        <v>308</v>
      </c>
      <c r="M569" s="27"/>
      <c r="O569" s="27"/>
      <c r="P569" s="27"/>
      <c r="V569" s="13" t="s">
        <v>1645</v>
      </c>
      <c r="W569" s="13" t="s">
        <v>1674</v>
      </c>
      <c r="Y569" s="13" t="s">
        <v>1674</v>
      </c>
      <c r="Z569" s="13" t="s">
        <v>1675</v>
      </c>
      <c r="AA569" s="13" t="b">
        <v>0</v>
      </c>
      <c r="AB569" s="13" t="b">
        <v>0</v>
      </c>
      <c r="AC569" s="13" t="b">
        <v>0</v>
      </c>
      <c r="AE569" s="27"/>
      <c r="AF569" s="27" t="str">
        <f>IFERROR(__xludf.DUMMYFUNCTION("""COMPUTED_VALUE"""),"")</f>
        <v/>
      </c>
      <c r="AG569" s="27"/>
      <c r="AH569" s="27"/>
      <c r="AI569" s="27"/>
    </row>
    <row r="570" hidden="1" outlineLevel="1">
      <c r="A570" s="27" t="s">
        <v>231</v>
      </c>
      <c r="B570" s="30" t="s">
        <v>1676</v>
      </c>
      <c r="C570" s="27" t="s">
        <v>1649</v>
      </c>
      <c r="D570" s="27" t="s">
        <v>1677</v>
      </c>
      <c r="E570" s="27"/>
      <c r="F570" s="27"/>
      <c r="G570" s="27"/>
      <c r="H570" s="27"/>
      <c r="I570" s="27"/>
      <c r="J570" s="27"/>
      <c r="K570" s="27"/>
      <c r="L570" s="27" t="s">
        <v>308</v>
      </c>
      <c r="M570" s="27"/>
      <c r="O570" s="27"/>
      <c r="P570" s="27"/>
      <c r="V570" s="13" t="s">
        <v>1645</v>
      </c>
      <c r="W570" s="13" t="s">
        <v>1678</v>
      </c>
      <c r="Y570" s="13" t="s">
        <v>1678</v>
      </c>
      <c r="Z570" s="13" t="s">
        <v>1679</v>
      </c>
      <c r="AA570" s="13" t="b">
        <v>0</v>
      </c>
      <c r="AB570" s="13" t="b">
        <v>0</v>
      </c>
      <c r="AC570" s="13" t="b">
        <v>0</v>
      </c>
      <c r="AE570" s="27"/>
      <c r="AF570" s="27" t="str">
        <f>IFERROR(__xludf.DUMMYFUNCTION("""COMPUTED_VALUE"""),"")</f>
        <v/>
      </c>
      <c r="AG570" s="27"/>
      <c r="AH570" s="27"/>
      <c r="AI570" s="27"/>
    </row>
    <row r="571" hidden="1" outlineLevel="1">
      <c r="A571" s="27" t="s">
        <v>231</v>
      </c>
      <c r="B571" s="30" t="s">
        <v>1680</v>
      </c>
      <c r="C571" s="27" t="s">
        <v>1654</v>
      </c>
      <c r="D571" s="27" t="s">
        <v>1681</v>
      </c>
      <c r="E571" s="27"/>
      <c r="F571" s="27"/>
      <c r="G571" s="27"/>
      <c r="H571" s="27"/>
      <c r="I571" s="27"/>
      <c r="J571" s="27"/>
      <c r="K571" s="27"/>
      <c r="L571" s="27" t="s">
        <v>308</v>
      </c>
      <c r="M571" s="27"/>
      <c r="O571" s="27"/>
      <c r="P571" s="27"/>
      <c r="V571" s="13" t="s">
        <v>1645</v>
      </c>
      <c r="W571" s="13" t="s">
        <v>1682</v>
      </c>
      <c r="Y571" s="13" t="s">
        <v>1682</v>
      </c>
      <c r="Z571" s="13" t="s">
        <v>1683</v>
      </c>
      <c r="AA571" s="13" t="b">
        <v>0</v>
      </c>
      <c r="AB571" s="13" t="b">
        <v>0</v>
      </c>
      <c r="AC571" s="13" t="b">
        <v>0</v>
      </c>
      <c r="AE571" s="27"/>
      <c r="AF571" s="27" t="str">
        <f>IFERROR(__xludf.DUMMYFUNCTION("""COMPUTED_VALUE"""),"")</f>
        <v/>
      </c>
      <c r="AG571" s="27"/>
      <c r="AH571" s="27"/>
      <c r="AI571" s="27"/>
    </row>
    <row r="572" hidden="1" outlineLevel="1">
      <c r="A572" s="27" t="s">
        <v>231</v>
      </c>
      <c r="B572" s="30" t="s">
        <v>1684</v>
      </c>
      <c r="C572" s="27" t="s">
        <v>1659</v>
      </c>
      <c r="D572" s="27" t="s">
        <v>1685</v>
      </c>
      <c r="E572" s="27"/>
      <c r="F572" s="27"/>
      <c r="G572" s="27"/>
      <c r="H572" s="27"/>
      <c r="I572" s="27"/>
      <c r="J572" s="27"/>
      <c r="K572" s="27"/>
      <c r="L572" s="27" t="s">
        <v>308</v>
      </c>
      <c r="M572" s="27"/>
      <c r="O572" s="27"/>
      <c r="P572" s="27"/>
      <c r="V572" s="13" t="s">
        <v>1645</v>
      </c>
      <c r="W572" s="13" t="s">
        <v>1686</v>
      </c>
      <c r="Y572" s="13" t="s">
        <v>1686</v>
      </c>
      <c r="Z572" s="13" t="s">
        <v>1687</v>
      </c>
      <c r="AA572" s="13" t="b">
        <v>0</v>
      </c>
      <c r="AB572" s="13" t="b">
        <v>0</v>
      </c>
      <c r="AC572" s="13" t="b">
        <v>0</v>
      </c>
      <c r="AE572" s="27"/>
      <c r="AF572" s="27" t="str">
        <f>IFERROR(__xludf.DUMMYFUNCTION("""COMPUTED_VALUE"""),"")</f>
        <v/>
      </c>
      <c r="AG572" s="27"/>
      <c r="AH572" s="27"/>
      <c r="AI572" s="27"/>
    </row>
    <row r="573" hidden="1" outlineLevel="1">
      <c r="A573" s="27" t="s">
        <v>170</v>
      </c>
      <c r="B573" s="30" t="s">
        <v>1688</v>
      </c>
      <c r="C573" s="27" t="s">
        <v>1689</v>
      </c>
      <c r="D573" s="27"/>
      <c r="E573" s="27"/>
      <c r="F573" s="27"/>
      <c r="G573" s="27"/>
      <c r="H573" s="27"/>
      <c r="I573" s="27"/>
      <c r="J573" s="27"/>
      <c r="K573" s="27"/>
      <c r="L573" s="27"/>
      <c r="M573" s="27"/>
      <c r="O573" s="27"/>
      <c r="P573" s="27"/>
      <c r="W573" s="13" t="s">
        <v>1690</v>
      </c>
      <c r="Y573" s="13" t="s">
        <v>1690</v>
      </c>
      <c r="Z573" s="13" t="s">
        <v>1691</v>
      </c>
      <c r="AA573" s="13" t="b">
        <v>0</v>
      </c>
      <c r="AB573" s="13" t="b">
        <v>0</v>
      </c>
      <c r="AC573" s="13" t="b">
        <v>0</v>
      </c>
      <c r="AE573" s="27"/>
      <c r="AF573" s="27" t="str">
        <f>IFERROR(__xludf.DUMMYFUNCTION("""COMPUTED_VALUE"""),"numbers,multiline,url,ex:,thousands-sep")</f>
        <v>numbers,multiline,url,ex:,thousands-sep</v>
      </c>
      <c r="AG573" s="27"/>
      <c r="AH573" s="27"/>
      <c r="AI573" s="27"/>
    </row>
    <row r="574" hidden="1" outlineLevel="1">
      <c r="A574" s="27" t="s">
        <v>324</v>
      </c>
      <c r="B574" s="30" t="s">
        <v>1692</v>
      </c>
      <c r="C574" s="27" t="s">
        <v>1693</v>
      </c>
      <c r="D574" s="27"/>
      <c r="E574" s="27" t="s">
        <v>686</v>
      </c>
      <c r="F574" s="27"/>
      <c r="G574" s="27"/>
      <c r="H574" s="27"/>
      <c r="I574" s="27"/>
      <c r="J574" s="27" t="s">
        <v>176</v>
      </c>
      <c r="K574" s="27"/>
      <c r="L574" s="27"/>
      <c r="M574" s="27"/>
      <c r="O574" s="27"/>
      <c r="P574" s="27"/>
      <c r="V574" s="13" t="s">
        <v>1694</v>
      </c>
      <c r="W574" s="13" t="s">
        <v>1695</v>
      </c>
      <c r="Y574" s="13" t="s">
        <v>1695</v>
      </c>
      <c r="Z574" s="13" t="s">
        <v>1696</v>
      </c>
      <c r="AA574" s="13" t="b">
        <v>0</v>
      </c>
      <c r="AB574" s="13" t="b">
        <v>0</v>
      </c>
      <c r="AC574" s="13" t="b">
        <v>0</v>
      </c>
      <c r="AE574" s="27"/>
      <c r="AF574" s="27" t="str">
        <f>IFERROR(__xludf.DUMMYFUNCTION("""COMPUTED_VALUE"""),"quick,likert,map,minimal,search,columns-pack,columns,columns-n,no-buttons,image-map,label,list-nolabel,list")</f>
        <v>quick,likert,map,minimal,search,columns-pack,columns,columns-n,no-buttons,image-map,label,list-nolabel,list</v>
      </c>
      <c r="AG574" s="27"/>
      <c r="AH574" s="27"/>
      <c r="AI574" s="27"/>
    </row>
    <row r="575">
      <c r="A575" s="27" t="s">
        <v>283</v>
      </c>
      <c r="B575" s="30"/>
      <c r="C575" s="27"/>
      <c r="D575" s="27"/>
      <c r="E575" s="27"/>
      <c r="F575" s="27"/>
      <c r="G575" s="27"/>
      <c r="H575" s="27"/>
      <c r="I575" s="27"/>
      <c r="J575" s="27"/>
      <c r="K575" s="27"/>
      <c r="L575" s="27"/>
      <c r="M575" s="27"/>
      <c r="N575" s="13"/>
      <c r="O575" s="27"/>
      <c r="P575" s="27"/>
      <c r="Q575" s="13"/>
      <c r="R575" s="13"/>
      <c r="S575" s="13"/>
      <c r="T575" s="13"/>
      <c r="U575" s="13"/>
      <c r="V575" s="13"/>
      <c r="W575" s="13"/>
      <c r="X575" s="13"/>
      <c r="Y575" s="13" t="s">
        <v>45</v>
      </c>
      <c r="Z575" s="13"/>
      <c r="AA575" s="13" t="b">
        <v>0</v>
      </c>
      <c r="AB575" s="13" t="b">
        <v>0</v>
      </c>
      <c r="AC575" s="13" t="b">
        <v>0</v>
      </c>
      <c r="AD575" s="13"/>
      <c r="AE575" s="27"/>
      <c r="AF575" s="27" t="str">
        <f>IFERROR(__xludf.DUMMYFUNCTION("""COMPUTED_VALUE"""),"")</f>
        <v/>
      </c>
      <c r="AG575" s="27"/>
      <c r="AH575" s="27"/>
      <c r="AI575" s="27"/>
    </row>
    <row r="576">
      <c r="A576" s="27"/>
      <c r="B576" s="30"/>
      <c r="C576" s="27"/>
      <c r="D576" s="27"/>
      <c r="E576" s="27"/>
      <c r="F576" s="27"/>
      <c r="G576" s="27"/>
      <c r="H576" s="27"/>
      <c r="I576" s="27"/>
      <c r="J576" s="27"/>
      <c r="K576" s="27"/>
      <c r="L576" s="27"/>
      <c r="M576" s="27"/>
      <c r="O576" s="27"/>
      <c r="P576" s="27"/>
      <c r="Y576" s="13" t="s">
        <v>45</v>
      </c>
      <c r="AA576" s="13" t="b">
        <v>0</v>
      </c>
      <c r="AB576" s="13" t="b">
        <v>0</v>
      </c>
      <c r="AC576" s="13" t="b">
        <v>0</v>
      </c>
      <c r="AE576" s="27"/>
      <c r="AF576" s="27" t="str">
        <f>IFERROR(__xludf.DUMMYFUNCTION("""COMPUTED_VALUE"""),"")</f>
        <v/>
      </c>
      <c r="AG576" s="27"/>
      <c r="AH576" s="27"/>
      <c r="AI576" s="27"/>
    </row>
    <row r="577">
      <c r="A577" s="27"/>
      <c r="B577" s="30"/>
      <c r="C577" s="27"/>
      <c r="D577" s="27"/>
      <c r="E577" s="27"/>
      <c r="F577" s="27"/>
      <c r="G577" s="27"/>
      <c r="H577" s="27"/>
      <c r="I577" s="27"/>
      <c r="J577" s="27"/>
      <c r="K577" s="27"/>
      <c r="L577" s="27"/>
      <c r="M577" s="27"/>
      <c r="O577" s="27"/>
      <c r="P577" s="27"/>
      <c r="Y577" s="13" t="s">
        <v>45</v>
      </c>
      <c r="AA577" s="13" t="b">
        <v>0</v>
      </c>
      <c r="AB577" s="13" t="b">
        <v>0</v>
      </c>
      <c r="AC577" s="13" t="b">
        <v>0</v>
      </c>
      <c r="AE577" s="27"/>
      <c r="AF577" s="27" t="str">
        <f>IFERROR(__xludf.DUMMYFUNCTION("""COMPUTED_VALUE"""),"")</f>
        <v/>
      </c>
      <c r="AG577" s="27"/>
      <c r="AH577" s="27"/>
      <c r="AI577" s="27"/>
    </row>
    <row r="578">
      <c r="A578" s="27"/>
      <c r="B578" s="30"/>
      <c r="C578" s="27"/>
      <c r="D578" s="27"/>
      <c r="E578" s="27"/>
      <c r="F578" s="27"/>
      <c r="G578" s="27"/>
      <c r="H578" s="27"/>
      <c r="I578" s="27"/>
      <c r="J578" s="27"/>
      <c r="K578" s="27"/>
      <c r="L578" s="27"/>
      <c r="M578" s="27"/>
      <c r="O578" s="27"/>
      <c r="P578" s="27"/>
      <c r="Y578" s="13" t="s">
        <v>45</v>
      </c>
      <c r="AA578" s="13" t="b">
        <v>0</v>
      </c>
      <c r="AB578" s="13" t="b">
        <v>0</v>
      </c>
      <c r="AC578" s="13" t="b">
        <v>0</v>
      </c>
      <c r="AE578" s="27"/>
      <c r="AF578" s="27" t="str">
        <f>IFERROR(__xludf.DUMMYFUNCTION("""COMPUTED_VALUE"""),"")</f>
        <v/>
      </c>
      <c r="AG578" s="27"/>
      <c r="AH578" s="27"/>
      <c r="AI578" s="27"/>
    </row>
    <row r="579">
      <c r="A579" s="27"/>
      <c r="B579" s="30"/>
      <c r="C579" s="27"/>
      <c r="D579" s="27"/>
      <c r="E579" s="27"/>
      <c r="F579" s="27"/>
      <c r="G579" s="27"/>
      <c r="H579" s="27"/>
      <c r="I579" s="27"/>
      <c r="J579" s="27"/>
      <c r="K579" s="27"/>
      <c r="L579" s="27"/>
      <c r="M579" s="27"/>
      <c r="O579" s="27"/>
      <c r="P579" s="27"/>
      <c r="Y579" s="13" t="s">
        <v>45</v>
      </c>
      <c r="AA579" s="13" t="b">
        <v>0</v>
      </c>
      <c r="AB579" s="13" t="b">
        <v>0</v>
      </c>
      <c r="AC579" s="13" t="b">
        <v>0</v>
      </c>
      <c r="AE579" s="27"/>
      <c r="AF579" s="27" t="str">
        <f>IFERROR(__xludf.DUMMYFUNCTION("""COMPUTED_VALUE"""),"")</f>
        <v/>
      </c>
      <c r="AG579" s="27"/>
      <c r="AH579" s="27"/>
      <c r="AI579" s="27"/>
    </row>
    <row r="580">
      <c r="A580" s="27"/>
      <c r="B580" s="30"/>
      <c r="C580" s="27"/>
      <c r="D580" s="27"/>
      <c r="E580" s="27"/>
      <c r="F580" s="27"/>
      <c r="G580" s="27"/>
      <c r="H580" s="27"/>
      <c r="I580" s="27"/>
      <c r="J580" s="27"/>
      <c r="K580" s="27"/>
      <c r="L580" s="27"/>
      <c r="M580" s="27"/>
      <c r="O580" s="27"/>
      <c r="P580" s="27"/>
      <c r="Y580" s="13" t="s">
        <v>45</v>
      </c>
      <c r="AA580" s="13" t="b">
        <v>0</v>
      </c>
      <c r="AB580" s="13" t="b">
        <v>0</v>
      </c>
      <c r="AC580" s="13" t="b">
        <v>0</v>
      </c>
      <c r="AE580" s="27"/>
      <c r="AF580" s="27" t="str">
        <f>IFERROR(__xludf.DUMMYFUNCTION("""COMPUTED_VALUE"""),"")</f>
        <v/>
      </c>
      <c r="AG580" s="27"/>
      <c r="AH580" s="27"/>
      <c r="AI580" s="27"/>
    </row>
    <row r="581">
      <c r="A581" s="27"/>
      <c r="B581" s="30"/>
      <c r="C581" s="27"/>
      <c r="D581" s="27"/>
      <c r="E581" s="27"/>
      <c r="F581" s="27"/>
      <c r="G581" s="27"/>
      <c r="H581" s="27"/>
      <c r="I581" s="27"/>
      <c r="J581" s="27"/>
      <c r="K581" s="27"/>
      <c r="L581" s="27"/>
      <c r="M581" s="27"/>
      <c r="O581" s="27"/>
      <c r="P581" s="27"/>
      <c r="Y581" s="13" t="s">
        <v>45</v>
      </c>
      <c r="AA581" s="13" t="b">
        <v>0</v>
      </c>
      <c r="AB581" s="13" t="b">
        <v>0</v>
      </c>
      <c r="AC581" s="13" t="b">
        <v>0</v>
      </c>
      <c r="AE581" s="27"/>
      <c r="AF581" s="27" t="str">
        <f>IFERROR(__xludf.DUMMYFUNCTION("""COMPUTED_VALUE"""),"")</f>
        <v/>
      </c>
      <c r="AG581" s="27"/>
      <c r="AH581" s="27"/>
      <c r="AI581" s="27"/>
    </row>
    <row r="582">
      <c r="A582" s="27"/>
      <c r="B582" s="30"/>
      <c r="C582" s="27"/>
      <c r="D582" s="27"/>
      <c r="E582" s="27"/>
      <c r="F582" s="27"/>
      <c r="G582" s="27"/>
      <c r="H582" s="27"/>
      <c r="I582" s="27"/>
      <c r="J582" s="27"/>
      <c r="K582" s="27"/>
      <c r="L582" s="27"/>
      <c r="M582" s="27"/>
      <c r="O582" s="27"/>
      <c r="P582" s="27"/>
      <c r="Y582" s="13" t="s">
        <v>45</v>
      </c>
      <c r="AA582" s="13" t="b">
        <v>0</v>
      </c>
      <c r="AB582" s="13" t="b">
        <v>0</v>
      </c>
      <c r="AC582" s="13" t="b">
        <v>0</v>
      </c>
      <c r="AE582" s="27"/>
      <c r="AF582" s="27" t="str">
        <f>IFERROR(__xludf.DUMMYFUNCTION("""COMPUTED_VALUE"""),"")</f>
        <v/>
      </c>
      <c r="AG582" s="27"/>
      <c r="AH582" s="27"/>
      <c r="AI582" s="27"/>
    </row>
    <row r="583">
      <c r="A583" s="27"/>
      <c r="B583" s="30"/>
      <c r="C583" s="27"/>
      <c r="D583" s="27"/>
      <c r="E583" s="27"/>
      <c r="F583" s="27"/>
      <c r="G583" s="27"/>
      <c r="H583" s="27"/>
      <c r="I583" s="27"/>
      <c r="J583" s="27"/>
      <c r="K583" s="27"/>
      <c r="L583" s="27"/>
      <c r="M583" s="27"/>
      <c r="O583" s="27"/>
      <c r="P583" s="27"/>
      <c r="Y583" s="13" t="s">
        <v>45</v>
      </c>
      <c r="AA583" s="13" t="b">
        <v>0</v>
      </c>
      <c r="AB583" s="13" t="b">
        <v>0</v>
      </c>
      <c r="AC583" s="13" t="b">
        <v>0</v>
      </c>
      <c r="AE583" s="27"/>
      <c r="AF583" s="27" t="str">
        <f>IFERROR(__xludf.DUMMYFUNCTION("""COMPUTED_VALUE"""),"")</f>
        <v/>
      </c>
      <c r="AG583" s="27"/>
      <c r="AH583" s="27"/>
      <c r="AI583" s="27"/>
    </row>
    <row r="584">
      <c r="A584" s="27"/>
      <c r="B584" s="30"/>
      <c r="C584" s="27"/>
      <c r="D584" s="27"/>
      <c r="E584" s="27"/>
      <c r="F584" s="27"/>
      <c r="G584" s="27"/>
      <c r="H584" s="27"/>
      <c r="I584" s="27"/>
      <c r="J584" s="27"/>
      <c r="K584" s="27"/>
      <c r="L584" s="27"/>
      <c r="M584" s="27"/>
      <c r="O584" s="27"/>
      <c r="P584" s="27"/>
      <c r="Y584" s="13" t="s">
        <v>45</v>
      </c>
      <c r="AA584" s="13" t="b">
        <v>0</v>
      </c>
      <c r="AB584" s="13" t="b">
        <v>0</v>
      </c>
      <c r="AC584" s="13" t="b">
        <v>0</v>
      </c>
      <c r="AE584" s="27"/>
      <c r="AF584" s="27" t="str">
        <f>IFERROR(__xludf.DUMMYFUNCTION("""COMPUTED_VALUE"""),"")</f>
        <v/>
      </c>
      <c r="AG584" s="27"/>
      <c r="AH584" s="27"/>
      <c r="AI584" s="27"/>
    </row>
    <row r="585">
      <c r="A585" s="27"/>
      <c r="B585" s="30"/>
      <c r="C585" s="27"/>
      <c r="D585" s="27"/>
      <c r="E585" s="27"/>
      <c r="F585" s="27"/>
      <c r="G585" s="27"/>
      <c r="H585" s="27"/>
      <c r="I585" s="27"/>
      <c r="J585" s="27"/>
      <c r="K585" s="27"/>
      <c r="L585" s="27"/>
      <c r="M585" s="27"/>
      <c r="O585" s="27"/>
      <c r="P585" s="27"/>
      <c r="Y585" s="13" t="s">
        <v>45</v>
      </c>
      <c r="AA585" s="13" t="b">
        <v>0</v>
      </c>
      <c r="AB585" s="13" t="b">
        <v>0</v>
      </c>
      <c r="AC585" s="13" t="b">
        <v>0</v>
      </c>
      <c r="AE585" s="27"/>
      <c r="AF585" s="27" t="str">
        <f>IFERROR(__xludf.DUMMYFUNCTION("""COMPUTED_VALUE"""),"")</f>
        <v/>
      </c>
      <c r="AG585" s="27"/>
      <c r="AH585" s="27"/>
      <c r="AI585" s="27"/>
    </row>
    <row r="586">
      <c r="A586" s="27"/>
      <c r="B586" s="30"/>
      <c r="C586" s="27"/>
      <c r="D586" s="27"/>
      <c r="E586" s="27"/>
      <c r="F586" s="27"/>
      <c r="G586" s="27"/>
      <c r="H586" s="27"/>
      <c r="I586" s="27"/>
      <c r="J586" s="27"/>
      <c r="K586" s="27"/>
      <c r="L586" s="27"/>
      <c r="M586" s="27"/>
      <c r="O586" s="27"/>
      <c r="P586" s="27"/>
      <c r="AA586" s="13" t="b">
        <v>0</v>
      </c>
      <c r="AB586" s="13" t="b">
        <v>0</v>
      </c>
      <c r="AC586" s="13" t="b">
        <v>0</v>
      </c>
      <c r="AE586" s="27"/>
      <c r="AF586" s="27" t="str">
        <f>IFERROR(__xludf.DUMMYFUNCTION("""COMPUTED_VALUE"""),"")</f>
        <v/>
      </c>
      <c r="AG586" s="27"/>
      <c r="AH586" s="27"/>
      <c r="AI586" s="27"/>
    </row>
    <row r="587">
      <c r="A587" s="27"/>
      <c r="B587" s="30"/>
      <c r="C587" s="27"/>
      <c r="D587" s="27"/>
      <c r="E587" s="27"/>
      <c r="F587" s="27"/>
      <c r="G587" s="27"/>
      <c r="H587" s="27"/>
      <c r="I587" s="27"/>
      <c r="J587" s="27"/>
      <c r="K587" s="27"/>
      <c r="L587" s="27"/>
      <c r="M587" s="27"/>
      <c r="O587" s="27"/>
      <c r="P587" s="27"/>
      <c r="AA587" s="13" t="b">
        <v>0</v>
      </c>
      <c r="AB587" s="13" t="b">
        <v>0</v>
      </c>
      <c r="AC587" s="13" t="b">
        <v>0</v>
      </c>
      <c r="AE587" s="27"/>
      <c r="AF587" s="27" t="str">
        <f>IFERROR(__xludf.DUMMYFUNCTION("""COMPUTED_VALUE"""),"")</f>
        <v/>
      </c>
      <c r="AG587" s="27"/>
      <c r="AH587" s="27"/>
      <c r="AI587" s="27"/>
    </row>
    <row r="588">
      <c r="A588" s="27"/>
      <c r="B588" s="30"/>
      <c r="C588" s="27"/>
      <c r="D588" s="27"/>
      <c r="E588" s="27"/>
      <c r="F588" s="27"/>
      <c r="G588" s="27"/>
      <c r="H588" s="27"/>
      <c r="I588" s="27"/>
      <c r="J588" s="27"/>
      <c r="K588" s="27"/>
      <c r="L588" s="27"/>
      <c r="M588" s="27"/>
      <c r="O588" s="27"/>
      <c r="P588" s="27"/>
      <c r="AA588" s="13" t="b">
        <v>0</v>
      </c>
      <c r="AB588" s="13" t="b">
        <v>0</v>
      </c>
      <c r="AC588" s="13" t="b">
        <v>0</v>
      </c>
      <c r="AE588" s="27"/>
      <c r="AF588" s="27" t="str">
        <f>IFERROR(__xludf.DUMMYFUNCTION("""COMPUTED_VALUE"""),"")</f>
        <v/>
      </c>
      <c r="AG588" s="27"/>
      <c r="AH588" s="27"/>
      <c r="AI588" s="27"/>
    </row>
    <row r="589">
      <c r="A589" s="27"/>
      <c r="B589" s="30"/>
      <c r="C589" s="27"/>
      <c r="D589" s="27"/>
      <c r="E589" s="27"/>
      <c r="F589" s="27"/>
      <c r="G589" s="27"/>
      <c r="H589" s="27"/>
      <c r="I589" s="27"/>
      <c r="J589" s="27"/>
      <c r="K589" s="27"/>
      <c r="L589" s="27"/>
      <c r="M589" s="27"/>
      <c r="O589" s="27"/>
      <c r="P589" s="27"/>
      <c r="AA589" s="13" t="b">
        <v>0</v>
      </c>
      <c r="AB589" s="13" t="b">
        <v>0</v>
      </c>
      <c r="AC589" s="13" t="b">
        <v>0</v>
      </c>
      <c r="AE589" s="27"/>
      <c r="AF589" s="27" t="str">
        <f>IFERROR(__xludf.DUMMYFUNCTION("""COMPUTED_VALUE"""),"")</f>
        <v/>
      </c>
      <c r="AG589" s="27"/>
      <c r="AH589" s="27"/>
      <c r="AI589" s="27"/>
    </row>
    <row r="590">
      <c r="A590" s="27"/>
      <c r="B590" s="30"/>
      <c r="C590" s="27"/>
      <c r="D590" s="27"/>
      <c r="E590" s="27"/>
      <c r="F590" s="27"/>
      <c r="G590" s="27"/>
      <c r="H590" s="27"/>
      <c r="I590" s="27"/>
      <c r="J590" s="27"/>
      <c r="K590" s="27"/>
      <c r="L590" s="27"/>
      <c r="M590" s="27"/>
      <c r="O590" s="27"/>
      <c r="P590" s="27"/>
      <c r="AA590" s="13" t="b">
        <v>0</v>
      </c>
      <c r="AB590" s="13" t="b">
        <v>0</v>
      </c>
      <c r="AC590" s="13" t="b">
        <v>0</v>
      </c>
      <c r="AE590" s="27"/>
      <c r="AF590" s="27" t="str">
        <f>IFERROR(__xludf.DUMMYFUNCTION("""COMPUTED_VALUE"""),"")</f>
        <v/>
      </c>
      <c r="AG590" s="27"/>
      <c r="AH590" s="27"/>
      <c r="AI590" s="27"/>
    </row>
    <row r="591">
      <c r="A591" s="27"/>
      <c r="B591" s="30"/>
      <c r="C591" s="27"/>
      <c r="D591" s="27"/>
      <c r="E591" s="27"/>
      <c r="F591" s="27"/>
      <c r="G591" s="27"/>
      <c r="H591" s="27"/>
      <c r="I591" s="27"/>
      <c r="J591" s="27"/>
      <c r="K591" s="27"/>
      <c r="L591" s="27"/>
      <c r="M591" s="27"/>
      <c r="O591" s="27"/>
      <c r="P591" s="27"/>
      <c r="AA591" s="13" t="b">
        <v>0</v>
      </c>
      <c r="AB591" s="13" t="b">
        <v>0</v>
      </c>
      <c r="AC591" s="13" t="b">
        <v>0</v>
      </c>
      <c r="AE591" s="27"/>
      <c r="AF591" s="27" t="str">
        <f>IFERROR(__xludf.DUMMYFUNCTION("""COMPUTED_VALUE"""),"")</f>
        <v/>
      </c>
      <c r="AG591" s="27"/>
      <c r="AH591" s="27"/>
      <c r="AI591" s="27"/>
    </row>
    <row r="592">
      <c r="A592" s="27"/>
      <c r="B592" s="30"/>
      <c r="C592" s="27"/>
      <c r="D592" s="27"/>
      <c r="E592" s="27"/>
      <c r="F592" s="27"/>
      <c r="G592" s="27"/>
      <c r="H592" s="27"/>
      <c r="I592" s="27"/>
      <c r="J592" s="27"/>
      <c r="K592" s="27"/>
      <c r="L592" s="27"/>
      <c r="M592" s="27"/>
      <c r="O592" s="27"/>
      <c r="P592" s="27"/>
      <c r="AA592" s="13" t="b">
        <v>0</v>
      </c>
      <c r="AB592" s="13" t="b">
        <v>0</v>
      </c>
      <c r="AC592" s="13" t="b">
        <v>0</v>
      </c>
      <c r="AE592" s="27"/>
      <c r="AF592" s="27" t="str">
        <f>IFERROR(__xludf.DUMMYFUNCTION("""COMPUTED_VALUE"""),"")</f>
        <v/>
      </c>
      <c r="AG592" s="27"/>
      <c r="AH592" s="27"/>
      <c r="AI592" s="27"/>
    </row>
    <row r="593">
      <c r="A593" s="27"/>
      <c r="B593" s="30"/>
      <c r="C593" s="27"/>
      <c r="D593" s="27"/>
      <c r="E593" s="27"/>
      <c r="F593" s="27"/>
      <c r="G593" s="27"/>
      <c r="H593" s="27"/>
      <c r="I593" s="27"/>
      <c r="J593" s="27"/>
      <c r="K593" s="27"/>
      <c r="L593" s="27"/>
      <c r="M593" s="27"/>
      <c r="O593" s="27"/>
      <c r="P593" s="27"/>
      <c r="AA593" s="13" t="b">
        <v>0</v>
      </c>
      <c r="AB593" s="13" t="b">
        <v>0</v>
      </c>
      <c r="AC593" s="13" t="b">
        <v>0</v>
      </c>
      <c r="AE593" s="27"/>
      <c r="AF593" s="27" t="str">
        <f>IFERROR(__xludf.DUMMYFUNCTION("""COMPUTED_VALUE"""),"")</f>
        <v/>
      </c>
      <c r="AG593" s="27"/>
      <c r="AH593" s="27"/>
      <c r="AI593" s="27"/>
    </row>
    <row r="594">
      <c r="A594" s="27"/>
      <c r="B594" s="30"/>
      <c r="C594" s="27"/>
      <c r="D594" s="27"/>
      <c r="E594" s="27"/>
      <c r="F594" s="27"/>
      <c r="G594" s="27"/>
      <c r="H594" s="27"/>
      <c r="I594" s="27"/>
      <c r="J594" s="27"/>
      <c r="K594" s="27"/>
      <c r="L594" s="27"/>
      <c r="M594" s="27"/>
      <c r="O594" s="27"/>
      <c r="P594" s="27"/>
      <c r="AA594" s="13" t="b">
        <v>0</v>
      </c>
      <c r="AB594" s="13" t="b">
        <v>0</v>
      </c>
      <c r="AC594" s="13" t="b">
        <v>0</v>
      </c>
      <c r="AE594" s="27"/>
      <c r="AF594" s="27" t="str">
        <f>IFERROR(__xludf.DUMMYFUNCTION("""COMPUTED_VALUE"""),"")</f>
        <v/>
      </c>
      <c r="AG594" s="27"/>
      <c r="AH594" s="27"/>
      <c r="AI594" s="27"/>
    </row>
    <row r="595">
      <c r="A595" s="27"/>
      <c r="B595" s="30"/>
      <c r="C595" s="27"/>
      <c r="D595" s="27"/>
      <c r="E595" s="27"/>
      <c r="F595" s="27"/>
      <c r="G595" s="27"/>
      <c r="H595" s="27"/>
      <c r="I595" s="27"/>
      <c r="J595" s="27"/>
      <c r="K595" s="27"/>
      <c r="L595" s="27"/>
      <c r="M595" s="27"/>
      <c r="O595" s="27"/>
      <c r="P595" s="27"/>
      <c r="AA595" s="13" t="b">
        <v>0</v>
      </c>
      <c r="AB595" s="13" t="b">
        <v>0</v>
      </c>
      <c r="AC595" s="13" t="b">
        <v>0</v>
      </c>
      <c r="AE595" s="27"/>
      <c r="AF595" s="27" t="str">
        <f>IFERROR(__xludf.DUMMYFUNCTION("""COMPUTED_VALUE"""),"")</f>
        <v/>
      </c>
      <c r="AG595" s="27"/>
      <c r="AH595" s="27"/>
      <c r="AI595" s="27"/>
    </row>
    <row r="596">
      <c r="A596" s="27"/>
      <c r="B596" s="30"/>
      <c r="C596" s="27"/>
      <c r="D596" s="27"/>
      <c r="E596" s="27"/>
      <c r="F596" s="27"/>
      <c r="G596" s="27"/>
      <c r="H596" s="27"/>
      <c r="I596" s="27"/>
      <c r="J596" s="27"/>
      <c r="K596" s="27"/>
      <c r="L596" s="27"/>
      <c r="M596" s="27"/>
      <c r="O596" s="27"/>
      <c r="P596" s="27"/>
      <c r="AA596" s="13" t="b">
        <v>0</v>
      </c>
      <c r="AB596" s="13" t="b">
        <v>0</v>
      </c>
      <c r="AC596" s="13" t="b">
        <v>0</v>
      </c>
      <c r="AE596" s="27"/>
      <c r="AF596" s="27" t="str">
        <f>IFERROR(__xludf.DUMMYFUNCTION("""COMPUTED_VALUE"""),"")</f>
        <v/>
      </c>
      <c r="AG596" s="27"/>
      <c r="AH596" s="27"/>
      <c r="AI596" s="27"/>
    </row>
    <row r="597">
      <c r="A597" s="27"/>
      <c r="B597" s="30"/>
      <c r="C597" s="27"/>
      <c r="D597" s="27"/>
      <c r="E597" s="27"/>
      <c r="F597" s="27"/>
      <c r="G597" s="27"/>
      <c r="H597" s="27"/>
      <c r="I597" s="27"/>
      <c r="J597" s="27"/>
      <c r="K597" s="27"/>
      <c r="L597" s="27"/>
      <c r="M597" s="27"/>
      <c r="O597" s="27"/>
      <c r="P597" s="27"/>
      <c r="AA597" s="13" t="b">
        <v>0</v>
      </c>
      <c r="AB597" s="13" t="b">
        <v>0</v>
      </c>
      <c r="AC597" s="13" t="b">
        <v>0</v>
      </c>
      <c r="AE597" s="27"/>
      <c r="AF597" s="27" t="str">
        <f>IFERROR(__xludf.DUMMYFUNCTION("""COMPUTED_VALUE"""),"")</f>
        <v/>
      </c>
      <c r="AG597" s="27"/>
      <c r="AH597" s="27"/>
      <c r="AI597" s="27"/>
    </row>
    <row r="598">
      <c r="A598" s="27"/>
      <c r="B598" s="30"/>
      <c r="C598" s="27"/>
      <c r="D598" s="27"/>
      <c r="E598" s="27"/>
      <c r="F598" s="27"/>
      <c r="G598" s="27"/>
      <c r="H598" s="27"/>
      <c r="I598" s="27"/>
      <c r="J598" s="27"/>
      <c r="K598" s="27"/>
      <c r="L598" s="27"/>
      <c r="M598" s="27"/>
      <c r="O598" s="27"/>
      <c r="P598" s="27"/>
      <c r="AA598" s="13" t="b">
        <v>0</v>
      </c>
      <c r="AB598" s="13" t="b">
        <v>0</v>
      </c>
      <c r="AC598" s="13" t="b">
        <v>0</v>
      </c>
      <c r="AE598" s="27"/>
      <c r="AF598" s="27" t="str">
        <f>IFERROR(__xludf.DUMMYFUNCTION("""COMPUTED_VALUE"""),"")</f>
        <v/>
      </c>
      <c r="AG598" s="27"/>
      <c r="AH598" s="27"/>
      <c r="AI598" s="27"/>
    </row>
    <row r="599">
      <c r="A599" s="27"/>
      <c r="B599" s="30"/>
      <c r="C599" s="27"/>
      <c r="D599" s="27"/>
      <c r="E599" s="27"/>
      <c r="F599" s="27"/>
      <c r="G599" s="27"/>
      <c r="H599" s="27"/>
      <c r="I599" s="27"/>
      <c r="J599" s="27"/>
      <c r="K599" s="27"/>
      <c r="L599" s="27"/>
      <c r="M599" s="27"/>
      <c r="O599" s="27"/>
      <c r="P599" s="27"/>
      <c r="AA599" s="13" t="b">
        <v>0</v>
      </c>
      <c r="AB599" s="13" t="b">
        <v>0</v>
      </c>
      <c r="AC599" s="13" t="b">
        <v>0</v>
      </c>
      <c r="AE599" s="27"/>
      <c r="AF599" s="27" t="str">
        <f>IFERROR(__xludf.DUMMYFUNCTION("""COMPUTED_VALUE"""),"")</f>
        <v/>
      </c>
      <c r="AG599" s="27"/>
      <c r="AH599" s="27"/>
      <c r="AI599" s="27"/>
    </row>
    <row r="600">
      <c r="A600" s="27"/>
      <c r="B600" s="30"/>
      <c r="C600" s="27"/>
      <c r="D600" s="27"/>
      <c r="E600" s="27"/>
      <c r="F600" s="27"/>
      <c r="G600" s="27"/>
      <c r="H600" s="27"/>
      <c r="I600" s="27"/>
      <c r="J600" s="27"/>
      <c r="K600" s="27"/>
      <c r="L600" s="27"/>
      <c r="M600" s="27"/>
      <c r="O600" s="27"/>
      <c r="P600" s="27"/>
      <c r="AA600" s="13" t="b">
        <v>0</v>
      </c>
      <c r="AB600" s="13" t="b">
        <v>0</v>
      </c>
      <c r="AC600" s="13" t="b">
        <v>0</v>
      </c>
      <c r="AE600" s="27"/>
      <c r="AF600" s="27" t="str">
        <f>IFERROR(__xludf.DUMMYFUNCTION("""COMPUTED_VALUE"""),"")</f>
        <v/>
      </c>
      <c r="AG600" s="27"/>
      <c r="AH600" s="27"/>
      <c r="AI600" s="27"/>
    </row>
    <row r="601">
      <c r="A601" s="27"/>
      <c r="B601" s="30"/>
      <c r="C601" s="27"/>
      <c r="D601" s="27"/>
      <c r="E601" s="27"/>
      <c r="F601" s="27"/>
      <c r="G601" s="27"/>
      <c r="H601" s="27"/>
      <c r="I601" s="27"/>
      <c r="J601" s="27"/>
      <c r="K601" s="27"/>
      <c r="L601" s="27"/>
      <c r="M601" s="27"/>
      <c r="O601" s="27"/>
      <c r="P601" s="27"/>
      <c r="AA601" s="13" t="b">
        <v>0</v>
      </c>
      <c r="AB601" s="13" t="b">
        <v>0</v>
      </c>
      <c r="AC601" s="13" t="b">
        <v>0</v>
      </c>
      <c r="AE601" s="27"/>
      <c r="AF601" s="27" t="str">
        <f>IFERROR(__xludf.DUMMYFUNCTION("""COMPUTED_VALUE"""),"")</f>
        <v/>
      </c>
      <c r="AG601" s="27"/>
      <c r="AH601" s="27"/>
      <c r="AI601" s="27"/>
    </row>
    <row r="602">
      <c r="A602" s="27"/>
      <c r="B602" s="30"/>
      <c r="C602" s="27"/>
      <c r="D602" s="27"/>
      <c r="E602" s="27"/>
      <c r="F602" s="27"/>
      <c r="G602" s="27"/>
      <c r="H602" s="27"/>
      <c r="I602" s="27"/>
      <c r="J602" s="27"/>
      <c r="K602" s="27"/>
      <c r="L602" s="27"/>
      <c r="M602" s="27"/>
      <c r="O602" s="27"/>
      <c r="P602" s="27"/>
      <c r="AA602" s="13" t="b">
        <v>0</v>
      </c>
      <c r="AB602" s="13" t="b">
        <v>0</v>
      </c>
      <c r="AC602" s="13" t="b">
        <v>0</v>
      </c>
      <c r="AE602" s="27"/>
      <c r="AF602" s="27" t="str">
        <f>IFERROR(__xludf.DUMMYFUNCTION("""COMPUTED_VALUE"""),"")</f>
        <v/>
      </c>
      <c r="AG602" s="27"/>
      <c r="AH602" s="27"/>
      <c r="AI602" s="27"/>
    </row>
    <row r="603">
      <c r="A603" s="27"/>
      <c r="B603" s="30"/>
      <c r="C603" s="27"/>
      <c r="D603" s="27"/>
      <c r="E603" s="27"/>
      <c r="F603" s="27"/>
      <c r="G603" s="27"/>
      <c r="H603" s="27"/>
      <c r="I603" s="27"/>
      <c r="J603" s="27"/>
      <c r="K603" s="27"/>
      <c r="L603" s="27"/>
      <c r="M603" s="27"/>
      <c r="O603" s="27"/>
      <c r="P603" s="27"/>
      <c r="AA603" s="13" t="b">
        <v>0</v>
      </c>
      <c r="AB603" s="13" t="b">
        <v>0</v>
      </c>
      <c r="AC603" s="13" t="b">
        <v>0</v>
      </c>
      <c r="AE603" s="27"/>
      <c r="AF603" s="27" t="str">
        <f>IFERROR(__xludf.DUMMYFUNCTION("""COMPUTED_VALUE"""),"")</f>
        <v/>
      </c>
      <c r="AG603" s="27"/>
      <c r="AH603" s="27"/>
      <c r="AI603" s="27"/>
    </row>
    <row r="604">
      <c r="A604" s="27"/>
      <c r="B604" s="30"/>
      <c r="C604" s="27"/>
      <c r="D604" s="27"/>
      <c r="E604" s="27"/>
      <c r="F604" s="27"/>
      <c r="G604" s="27"/>
      <c r="H604" s="27"/>
      <c r="I604" s="27"/>
      <c r="J604" s="27"/>
      <c r="K604" s="27"/>
      <c r="L604" s="27"/>
      <c r="M604" s="27"/>
      <c r="O604" s="27"/>
      <c r="P604" s="27"/>
      <c r="AA604" s="13" t="b">
        <v>0</v>
      </c>
      <c r="AB604" s="13" t="b">
        <v>0</v>
      </c>
      <c r="AC604" s="13" t="b">
        <v>0</v>
      </c>
      <c r="AE604" s="27"/>
      <c r="AF604" s="27" t="str">
        <f>IFERROR(__xludf.DUMMYFUNCTION("""COMPUTED_VALUE"""),"")</f>
        <v/>
      </c>
      <c r="AG604" s="27"/>
      <c r="AH604" s="27"/>
      <c r="AI604" s="27"/>
    </row>
    <row r="605">
      <c r="A605" s="27"/>
      <c r="B605" s="30"/>
      <c r="C605" s="27"/>
      <c r="D605" s="27"/>
      <c r="E605" s="27"/>
      <c r="F605" s="27"/>
      <c r="G605" s="27"/>
      <c r="H605" s="27"/>
      <c r="I605" s="27"/>
      <c r="J605" s="27"/>
      <c r="K605" s="27"/>
      <c r="L605" s="27"/>
      <c r="M605" s="27"/>
      <c r="O605" s="27"/>
      <c r="P605" s="27"/>
      <c r="AA605" s="13" t="b">
        <v>0</v>
      </c>
      <c r="AB605" s="13" t="b">
        <v>0</v>
      </c>
      <c r="AC605" s="13" t="b">
        <v>0</v>
      </c>
      <c r="AE605" s="27"/>
      <c r="AF605" s="27" t="str">
        <f>IFERROR(__xludf.DUMMYFUNCTION("""COMPUTED_VALUE"""),"")</f>
        <v/>
      </c>
      <c r="AG605" s="27"/>
      <c r="AH605" s="27"/>
      <c r="AI605" s="27"/>
    </row>
    <row r="606">
      <c r="A606" s="27"/>
      <c r="B606" s="30"/>
      <c r="C606" s="27"/>
      <c r="D606" s="27"/>
      <c r="E606" s="27"/>
      <c r="F606" s="27"/>
      <c r="G606" s="27"/>
      <c r="H606" s="27"/>
      <c r="I606" s="27"/>
      <c r="J606" s="27"/>
      <c r="K606" s="27"/>
      <c r="L606" s="27"/>
      <c r="M606" s="27"/>
      <c r="O606" s="27"/>
      <c r="P606" s="27"/>
      <c r="AA606" s="13" t="b">
        <v>0</v>
      </c>
      <c r="AB606" s="13" t="b">
        <v>0</v>
      </c>
      <c r="AC606" s="13" t="b">
        <v>0</v>
      </c>
      <c r="AE606" s="27"/>
      <c r="AF606" s="27" t="str">
        <f>IFERROR(__xludf.DUMMYFUNCTION("""COMPUTED_VALUE"""),"")</f>
        <v/>
      </c>
      <c r="AG606" s="27"/>
      <c r="AH606" s="27"/>
      <c r="AI606" s="27"/>
    </row>
    <row r="607">
      <c r="A607" s="27"/>
      <c r="B607" s="30"/>
      <c r="C607" s="27"/>
      <c r="D607" s="27"/>
      <c r="E607" s="27"/>
      <c r="F607" s="27"/>
      <c r="G607" s="27"/>
      <c r="H607" s="27"/>
      <c r="I607" s="27"/>
      <c r="J607" s="27"/>
      <c r="K607" s="27"/>
      <c r="L607" s="27"/>
      <c r="M607" s="27"/>
      <c r="O607" s="27"/>
      <c r="P607" s="27"/>
      <c r="AA607" s="13" t="b">
        <v>0</v>
      </c>
      <c r="AB607" s="13" t="b">
        <v>0</v>
      </c>
      <c r="AC607" s="13" t="b">
        <v>0</v>
      </c>
      <c r="AE607" s="27"/>
      <c r="AF607" s="27" t="str">
        <f>IFERROR(__xludf.DUMMYFUNCTION("""COMPUTED_VALUE"""),"")</f>
        <v/>
      </c>
      <c r="AG607" s="27"/>
      <c r="AH607" s="27"/>
      <c r="AI607" s="27"/>
    </row>
    <row r="608">
      <c r="A608" s="27"/>
      <c r="B608" s="30"/>
      <c r="C608" s="27"/>
      <c r="D608" s="27"/>
      <c r="E608" s="27"/>
      <c r="F608" s="27"/>
      <c r="G608" s="27"/>
      <c r="H608" s="27"/>
      <c r="I608" s="27"/>
      <c r="J608" s="27"/>
      <c r="K608" s="27"/>
      <c r="L608" s="27"/>
      <c r="M608" s="27"/>
      <c r="O608" s="27"/>
      <c r="P608" s="27"/>
      <c r="AA608" s="13" t="b">
        <v>0</v>
      </c>
      <c r="AB608" s="13" t="b">
        <v>0</v>
      </c>
      <c r="AC608" s="13" t="b">
        <v>0</v>
      </c>
      <c r="AE608" s="27"/>
      <c r="AF608" s="27" t="str">
        <f>IFERROR(__xludf.DUMMYFUNCTION("""COMPUTED_VALUE"""),"")</f>
        <v/>
      </c>
      <c r="AG608" s="27"/>
      <c r="AH608" s="27"/>
      <c r="AI608" s="27"/>
    </row>
    <row r="609">
      <c r="A609" s="27"/>
      <c r="B609" s="30"/>
      <c r="C609" s="27"/>
      <c r="D609" s="27"/>
      <c r="E609" s="27"/>
      <c r="F609" s="27"/>
      <c r="G609" s="27"/>
      <c r="H609" s="27"/>
      <c r="I609" s="27"/>
      <c r="J609" s="27"/>
      <c r="K609" s="27"/>
      <c r="L609" s="27"/>
      <c r="M609" s="27"/>
      <c r="O609" s="27"/>
      <c r="P609" s="27"/>
      <c r="AA609" s="13" t="b">
        <v>0</v>
      </c>
      <c r="AB609" s="13" t="b">
        <v>0</v>
      </c>
      <c r="AC609" s="13" t="b">
        <v>0</v>
      </c>
      <c r="AE609" s="27"/>
      <c r="AF609" s="27" t="str">
        <f>IFERROR(__xludf.DUMMYFUNCTION("""COMPUTED_VALUE"""),"")</f>
        <v/>
      </c>
      <c r="AG609" s="27"/>
      <c r="AH609" s="27"/>
      <c r="AI609" s="27"/>
    </row>
    <row r="610">
      <c r="A610" s="27"/>
      <c r="B610" s="30"/>
      <c r="C610" s="27"/>
      <c r="D610" s="27"/>
      <c r="E610" s="27"/>
      <c r="F610" s="27"/>
      <c r="G610" s="27"/>
      <c r="H610" s="27"/>
      <c r="I610" s="27"/>
      <c r="J610" s="27"/>
      <c r="K610" s="27"/>
      <c r="L610" s="27"/>
      <c r="M610" s="27"/>
      <c r="O610" s="27"/>
      <c r="P610" s="27"/>
      <c r="AA610" s="13" t="b">
        <v>0</v>
      </c>
      <c r="AB610" s="13" t="b">
        <v>0</v>
      </c>
      <c r="AC610" s="13" t="b">
        <v>0</v>
      </c>
      <c r="AE610" s="27"/>
      <c r="AF610" s="27" t="str">
        <f>IFERROR(__xludf.DUMMYFUNCTION("""COMPUTED_VALUE"""),"")</f>
        <v/>
      </c>
      <c r="AG610" s="27"/>
      <c r="AH610" s="27"/>
      <c r="AI610" s="27"/>
    </row>
    <row r="611">
      <c r="A611" s="27"/>
      <c r="B611" s="30"/>
      <c r="C611" s="27"/>
      <c r="D611" s="27"/>
      <c r="E611" s="27"/>
      <c r="F611" s="27"/>
      <c r="G611" s="27"/>
      <c r="H611" s="27"/>
      <c r="I611" s="27"/>
      <c r="J611" s="27"/>
      <c r="K611" s="27"/>
      <c r="L611" s="27"/>
      <c r="M611" s="27"/>
      <c r="O611" s="27"/>
      <c r="P611" s="27"/>
      <c r="AA611" s="13" t="b">
        <v>0</v>
      </c>
      <c r="AB611" s="13" t="b">
        <v>0</v>
      </c>
      <c r="AC611" s="13" t="b">
        <v>0</v>
      </c>
      <c r="AE611" s="27"/>
      <c r="AF611" s="27" t="str">
        <f>IFERROR(__xludf.DUMMYFUNCTION("""COMPUTED_VALUE"""),"")</f>
        <v/>
      </c>
      <c r="AG611" s="27"/>
      <c r="AH611" s="27"/>
      <c r="AI611" s="27"/>
    </row>
    <row r="612">
      <c r="A612" s="27"/>
      <c r="B612" s="30"/>
      <c r="C612" s="27"/>
      <c r="D612" s="27"/>
      <c r="E612" s="27"/>
      <c r="F612" s="27"/>
      <c r="G612" s="27"/>
      <c r="H612" s="27"/>
      <c r="I612" s="27"/>
      <c r="J612" s="27"/>
      <c r="K612" s="27"/>
      <c r="L612" s="27"/>
      <c r="M612" s="27"/>
      <c r="O612" s="27"/>
      <c r="P612" s="27"/>
      <c r="AA612" s="13" t="b">
        <v>0</v>
      </c>
      <c r="AB612" s="13" t="b">
        <v>0</v>
      </c>
      <c r="AC612" s="13" t="b">
        <v>0</v>
      </c>
      <c r="AE612" s="27"/>
      <c r="AF612" s="27" t="str">
        <f>IFERROR(__xludf.DUMMYFUNCTION("""COMPUTED_VALUE"""),"")</f>
        <v/>
      </c>
      <c r="AG612" s="27"/>
      <c r="AH612" s="27"/>
      <c r="AI612" s="27"/>
    </row>
    <row r="613">
      <c r="A613" s="27"/>
      <c r="B613" s="30"/>
      <c r="C613" s="27"/>
      <c r="D613" s="27"/>
      <c r="E613" s="27"/>
      <c r="F613" s="27"/>
      <c r="G613" s="27"/>
      <c r="H613" s="27"/>
      <c r="I613" s="27"/>
      <c r="J613" s="27"/>
      <c r="K613" s="27"/>
      <c r="L613" s="27"/>
      <c r="M613" s="27"/>
      <c r="O613" s="27"/>
      <c r="P613" s="27"/>
      <c r="AA613" s="13" t="b">
        <v>0</v>
      </c>
      <c r="AB613" s="13" t="b">
        <v>0</v>
      </c>
      <c r="AC613" s="13" t="b">
        <v>0</v>
      </c>
      <c r="AE613" s="27"/>
      <c r="AF613" s="27" t="str">
        <f>IFERROR(__xludf.DUMMYFUNCTION("""COMPUTED_VALUE"""),"")</f>
        <v/>
      </c>
      <c r="AG613" s="27"/>
      <c r="AH613" s="27"/>
      <c r="AI613" s="27"/>
    </row>
    <row r="614">
      <c r="A614" s="27"/>
      <c r="B614" s="30"/>
      <c r="C614" s="27"/>
      <c r="D614" s="27"/>
      <c r="E614" s="27"/>
      <c r="F614" s="27"/>
      <c r="G614" s="27"/>
      <c r="H614" s="27"/>
      <c r="I614" s="27"/>
      <c r="J614" s="27"/>
      <c r="K614" s="27"/>
      <c r="L614" s="27"/>
      <c r="M614" s="27"/>
      <c r="O614" s="27"/>
      <c r="P614" s="27"/>
      <c r="AA614" s="13" t="b">
        <v>0</v>
      </c>
      <c r="AB614" s="13" t="b">
        <v>0</v>
      </c>
      <c r="AC614" s="13" t="b">
        <v>0</v>
      </c>
      <c r="AE614" s="27"/>
      <c r="AF614" s="27" t="str">
        <f>IFERROR(__xludf.DUMMYFUNCTION("""COMPUTED_VALUE"""),"")</f>
        <v/>
      </c>
      <c r="AG614" s="27"/>
      <c r="AH614" s="27"/>
      <c r="AI614" s="27"/>
    </row>
    <row r="615">
      <c r="A615" s="27"/>
      <c r="B615" s="30"/>
      <c r="C615" s="27"/>
      <c r="D615" s="27"/>
      <c r="E615" s="27"/>
      <c r="F615" s="27"/>
      <c r="G615" s="27"/>
      <c r="H615" s="27"/>
      <c r="I615" s="27"/>
      <c r="J615" s="27"/>
      <c r="K615" s="27"/>
      <c r="L615" s="27"/>
      <c r="M615" s="27"/>
      <c r="O615" s="27"/>
      <c r="P615" s="27"/>
      <c r="AA615" s="13" t="b">
        <v>0</v>
      </c>
      <c r="AB615" s="13" t="b">
        <v>0</v>
      </c>
      <c r="AC615" s="13" t="b">
        <v>0</v>
      </c>
      <c r="AE615" s="27"/>
      <c r="AF615" s="27" t="str">
        <f>IFERROR(__xludf.DUMMYFUNCTION("""COMPUTED_VALUE"""),"")</f>
        <v/>
      </c>
      <c r="AG615" s="27"/>
      <c r="AH615" s="27"/>
      <c r="AI615" s="27"/>
    </row>
  </sheetData>
  <conditionalFormatting sqref="E2:E615">
    <cfRule type="expression" dxfId="0" priority="1">
      <formula>AND(   E2&lt;&gt;"",   SUM(     N(       ISNA(         MATCH(           SPLIT(TRIM(E2), " "),           SPLIT(AF2, ","),           0         )       )     )   )&gt;0 )</formula>
    </cfRule>
  </conditionalFormatting>
  <conditionalFormatting sqref="A1:AI615">
    <cfRule type="expression" dxfId="1" priority="2">
      <formula>or($A1="begin group", $A1="begin_group", $A1="end group", $A1="end_group")</formula>
    </cfRule>
  </conditionalFormatting>
  <conditionalFormatting sqref="A1:AI615">
    <cfRule type="expression" dxfId="2" priority="3">
      <formula>or($A1="begin repeat", $A1="begin_repeat", $A1="end repeat", $A1="end_repeat")</formula>
    </cfRule>
  </conditionalFormatting>
  <dataValidations>
    <dataValidation type="list" allowBlank="1" sqref="A2:A615">
      <formula1>'⚙️ Types'!$B$8:$B$45</formula1>
    </dataValidation>
    <dataValidation type="list" allowBlank="1" showErrorMessage="1" sqref="AE28">
      <formula1>"ex:,thousands-sep,counter"</formula1>
    </dataValidation>
    <dataValidation type="list" allowBlank="1" sqref="AE2">
      <formula1>"numbers,multiline,url,ex:,thousands-sep"</formula1>
    </dataValidation>
    <dataValidation type="list" allowBlank="1" sqref="E2:E615">
      <formula1>'👀 Appearances'!$B$7:$B$48</formula1>
    </dataValidation>
  </dataValidations>
  <drawing r:id="rId2"/>
  <legacyDrawing r:id="rId3"/>
  <tableParts count="1">
    <tablePart r:id="rId5"/>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9ECC"/>
    <outlinePr summaryBelow="0" summaryRight="0"/>
  </sheetPr>
  <sheetViews>
    <sheetView workbookViewId="0">
      <pane xSplit="2.0" ySplit="1.0" topLeftCell="C2" activePane="bottomRight" state="frozen"/>
      <selection activeCell="C1" sqref="C1" pane="topRight"/>
      <selection activeCell="A2" sqref="A2" pane="bottomLeft"/>
      <selection activeCell="C2" sqref="C2" pane="bottomRight"/>
    </sheetView>
  </sheetViews>
  <sheetFormatPr customHeight="1" defaultColWidth="12.63" defaultRowHeight="15.75"/>
  <cols>
    <col customWidth="1" min="1" max="1" width="13.75"/>
    <col customWidth="1" min="3" max="3" width="26.63"/>
    <col customWidth="1" min="4" max="6" width="14.75"/>
  </cols>
  <sheetData>
    <row r="1" ht="27.75" customHeight="1">
      <c r="A1" s="43" t="s">
        <v>1697</v>
      </c>
      <c r="B1" s="44" t="s">
        <v>47</v>
      </c>
      <c r="C1" s="45" t="s">
        <v>48</v>
      </c>
      <c r="D1" s="46" t="str">
        <f>IFERROR(__xludf.DUMMYFUNCTION("{""label::Français (fr)"";
 MAP($C$2:$C829, $E$2:$E829,
   LAMBDA(hanzi, existing,
     IF(NOT(ISBLANK(existing)),
        existing,
        IF(NOT(ISBLANK(hanzi)),
           Proper(GOOGLETRANSLATE(hanzi, ""EN"", ""FR"")),
           """"
        )
     "&amp;")
   )
 )
}
"),"label::Français (fr)")</f>
        <v>label::Français (fr)</v>
      </c>
      <c r="E1" s="46" t="s">
        <v>1698</v>
      </c>
      <c r="F1" s="46"/>
      <c r="G1" s="47" t="s">
        <v>70</v>
      </c>
      <c r="H1" s="46" t="str">
        <f t="array" ref="H1:H826">{"label::Konyanka (mku)"; TRIM("#"&amp; W2:W1453 &amp; " " &amp; X2:X1453 &amp; " " &amp; Y2:Y1453 &amp; " " &amp; Z2:Z1453 &amp; " " &amp; AA2:AA1453)}</f>
        <v>label::Konyanka (mku)</v>
      </c>
      <c r="I1" s="47" t="s">
        <v>1699</v>
      </c>
      <c r="J1" s="47" t="s">
        <v>1700</v>
      </c>
      <c r="K1" s="47" t="s">
        <v>1701</v>
      </c>
      <c r="L1" s="47" t="s">
        <v>1702</v>
      </c>
      <c r="M1" s="47" t="s">
        <v>1703</v>
      </c>
      <c r="N1" s="47" t="s">
        <v>1704</v>
      </c>
      <c r="O1" s="47"/>
      <c r="P1" s="46" t="s">
        <v>63</v>
      </c>
      <c r="Q1" s="46" t="s">
        <v>64</v>
      </c>
      <c r="R1" s="46" t="s">
        <v>66</v>
      </c>
      <c r="S1" s="46" t="s">
        <v>67</v>
      </c>
      <c r="T1" s="46" t="s">
        <v>62</v>
      </c>
      <c r="U1" s="46" t="s">
        <v>65</v>
      </c>
      <c r="V1" s="47" t="s">
        <v>1705</v>
      </c>
      <c r="W1" s="47" t="s">
        <v>1706</v>
      </c>
      <c r="X1" s="47" t="s">
        <v>1707</v>
      </c>
      <c r="Y1" s="47" t="s">
        <v>1708</v>
      </c>
      <c r="Z1" s="47" t="s">
        <v>1709</v>
      </c>
      <c r="AA1" s="47"/>
      <c r="AB1" s="47"/>
      <c r="AC1" s="47"/>
    </row>
    <row r="2">
      <c r="A2" s="48"/>
      <c r="B2" s="49"/>
      <c r="C2" s="48"/>
      <c r="D2" s="50" t="str">
        <f>IFERROR(__xludf.DUMMYFUNCTION("""COMPUTED_VALUE"""),"")</f>
        <v/>
      </c>
      <c r="E2" s="50"/>
      <c r="F2" s="50"/>
      <c r="G2" s="50"/>
      <c r="H2" s="50" t="s">
        <v>1710</v>
      </c>
      <c r="I2" s="50"/>
      <c r="J2" s="50"/>
      <c r="K2" s="50"/>
      <c r="L2" s="50"/>
      <c r="M2" s="50"/>
      <c r="N2" s="50"/>
      <c r="O2" s="50"/>
      <c r="P2" s="50"/>
      <c r="Q2" s="50"/>
      <c r="R2" s="50"/>
      <c r="S2" s="50"/>
      <c r="T2" s="50"/>
      <c r="U2" s="50"/>
      <c r="V2" s="50"/>
      <c r="W2" s="50"/>
      <c r="X2" s="50"/>
      <c r="Y2" s="50"/>
      <c r="Z2" s="50"/>
      <c r="AA2" s="50"/>
      <c r="AB2" s="50"/>
      <c r="AC2" s="50"/>
    </row>
    <row r="3">
      <c r="A3" s="48" t="s">
        <v>1711</v>
      </c>
      <c r="B3" s="49" t="s">
        <v>1712</v>
      </c>
      <c r="C3" s="48" t="s">
        <v>1713</v>
      </c>
      <c r="D3" s="50" t="str">
        <f>IFERROR(__xludf.DUMMYFUNCTION("""COMPUTED_VALUE"""),"Konyanké")</f>
        <v>Konyanké</v>
      </c>
      <c r="E3" s="50" t="s">
        <v>1713</v>
      </c>
      <c r="F3" s="50" t="s">
        <v>1713</v>
      </c>
      <c r="G3" s="50" t="s">
        <v>1713</v>
      </c>
      <c r="H3" s="50" t="s">
        <v>1714</v>
      </c>
      <c r="I3" s="50"/>
      <c r="J3" s="50"/>
      <c r="K3" s="50"/>
      <c r="L3" s="50"/>
      <c r="M3" s="50"/>
      <c r="N3" s="50"/>
      <c r="O3" s="50"/>
      <c r="P3" s="50"/>
      <c r="Q3" s="50"/>
      <c r="R3" s="50"/>
      <c r="S3" s="50"/>
      <c r="T3" s="50"/>
      <c r="U3" s="50"/>
      <c r="V3" s="50" t="s">
        <v>1715</v>
      </c>
      <c r="W3" s="50"/>
      <c r="X3" s="50" t="s">
        <v>1716</v>
      </c>
      <c r="Y3" s="50"/>
      <c r="Z3" s="50"/>
      <c r="AA3" s="50"/>
      <c r="AB3" s="50"/>
      <c r="AC3" s="50"/>
    </row>
    <row r="4">
      <c r="A4" s="48" t="s">
        <v>1711</v>
      </c>
      <c r="B4" s="49" t="s">
        <v>1717</v>
      </c>
      <c r="C4" s="48" t="s">
        <v>1718</v>
      </c>
      <c r="D4" s="50" t="str">
        <f>IFERROR(__xludf.DUMMYFUNCTION("""COMPUTED_VALUE"""),"Français")</f>
        <v>Français</v>
      </c>
      <c r="E4" s="50"/>
      <c r="F4" s="50" t="s">
        <v>1719</v>
      </c>
      <c r="G4" s="50" t="s">
        <v>1719</v>
      </c>
      <c r="H4" s="50" t="s">
        <v>1720</v>
      </c>
      <c r="I4" s="50"/>
      <c r="J4" s="50"/>
      <c r="K4" s="50"/>
      <c r="L4" s="50"/>
      <c r="M4" s="50"/>
      <c r="N4" s="50"/>
      <c r="O4" s="50"/>
      <c r="P4" s="50"/>
      <c r="Q4" s="50"/>
      <c r="R4" s="50"/>
      <c r="S4" s="50"/>
      <c r="T4" s="50"/>
      <c r="U4" s="50"/>
      <c r="V4" s="50" t="s">
        <v>1718</v>
      </c>
      <c r="W4" s="50" t="s">
        <v>1721</v>
      </c>
      <c r="X4" s="50" t="s">
        <v>1722</v>
      </c>
      <c r="Y4" s="50" t="s">
        <v>45</v>
      </c>
      <c r="Z4" s="50" t="s">
        <v>45</v>
      </c>
      <c r="AA4" s="50"/>
      <c r="AB4" s="50"/>
      <c r="AC4" s="50"/>
    </row>
    <row r="5">
      <c r="A5" s="48" t="s">
        <v>1711</v>
      </c>
      <c r="B5" s="49" t="s">
        <v>1723</v>
      </c>
      <c r="C5" s="48" t="s">
        <v>1724</v>
      </c>
      <c r="D5" s="50" t="str">
        <f>IFERROR(__xludf.DUMMYFUNCTION("""COMPUTED_VALUE"""),"Anglais")</f>
        <v>Anglais</v>
      </c>
      <c r="E5" s="50"/>
      <c r="F5" s="50" t="s">
        <v>1725</v>
      </c>
      <c r="G5" s="50" t="s">
        <v>1725</v>
      </c>
      <c r="H5" s="50" t="s">
        <v>1726</v>
      </c>
      <c r="I5" s="50"/>
      <c r="J5" s="50"/>
      <c r="K5" s="50"/>
      <c r="L5" s="50"/>
      <c r="M5" s="50"/>
      <c r="N5" s="50"/>
      <c r="O5" s="50"/>
      <c r="P5" s="50"/>
      <c r="Q5" s="50"/>
      <c r="R5" s="50"/>
      <c r="S5" s="50"/>
      <c r="T5" s="50"/>
      <c r="U5" s="50"/>
      <c r="V5" s="50" t="s">
        <v>1724</v>
      </c>
      <c r="W5" s="50" t="s">
        <v>1727</v>
      </c>
      <c r="X5" s="50" t="s">
        <v>1728</v>
      </c>
      <c r="Y5" s="50" t="s">
        <v>45</v>
      </c>
      <c r="Z5" s="50" t="s">
        <v>45</v>
      </c>
      <c r="AA5" s="50"/>
      <c r="AB5" s="50"/>
      <c r="AC5" s="50"/>
    </row>
    <row r="6">
      <c r="A6" s="48"/>
      <c r="B6" s="49"/>
      <c r="C6" s="48"/>
      <c r="D6" s="50" t="str">
        <f>IFERROR(__xludf.DUMMYFUNCTION("""COMPUTED_VALUE"""),"")</f>
        <v/>
      </c>
      <c r="E6" s="50"/>
      <c r="F6" s="50"/>
      <c r="G6" s="50"/>
      <c r="H6" s="50" t="s">
        <v>1710</v>
      </c>
      <c r="I6" s="50"/>
      <c r="J6" s="50"/>
      <c r="K6" s="50"/>
      <c r="L6" s="50"/>
      <c r="M6" s="50"/>
      <c r="N6" s="50"/>
      <c r="O6" s="50"/>
      <c r="P6" s="50"/>
      <c r="Q6" s="50"/>
      <c r="R6" s="50"/>
      <c r="S6" s="50"/>
      <c r="T6" s="50"/>
      <c r="U6" s="50"/>
      <c r="V6" s="50"/>
      <c r="W6" s="50"/>
      <c r="X6" s="50"/>
      <c r="Y6" s="50"/>
      <c r="Z6" s="50"/>
      <c r="AA6" s="50"/>
      <c r="AB6" s="50"/>
      <c r="AC6" s="50"/>
    </row>
    <row r="7">
      <c r="A7" s="48"/>
      <c r="B7" s="49"/>
      <c r="C7" s="48"/>
      <c r="D7" s="50" t="str">
        <f>IFERROR(__xludf.DUMMYFUNCTION("""COMPUTED_VALUE"""),"")</f>
        <v/>
      </c>
      <c r="E7" s="50"/>
      <c r="F7" s="50"/>
      <c r="G7" s="50"/>
      <c r="H7" s="50" t="s">
        <v>1710</v>
      </c>
      <c r="I7" s="50"/>
      <c r="J7" s="50"/>
      <c r="K7" s="50"/>
      <c r="L7" s="50"/>
      <c r="M7" s="50"/>
      <c r="N7" s="50"/>
      <c r="O7" s="50"/>
      <c r="P7" s="50"/>
      <c r="Q7" s="50"/>
      <c r="R7" s="50"/>
      <c r="S7" s="50"/>
      <c r="T7" s="50"/>
      <c r="U7" s="50"/>
      <c r="V7" s="50"/>
      <c r="W7" s="50"/>
      <c r="X7" s="50"/>
      <c r="Y7" s="50"/>
      <c r="Z7" s="50"/>
      <c r="AA7" s="50"/>
      <c r="AB7" s="50"/>
      <c r="AC7" s="50"/>
    </row>
    <row r="8">
      <c r="A8" s="48" t="s">
        <v>1729</v>
      </c>
      <c r="B8" s="49" t="s">
        <v>1730</v>
      </c>
      <c r="C8" s="48" t="s">
        <v>1731</v>
      </c>
      <c r="D8" s="50" t="str">
        <f>IFERROR(__xludf.DUMMYFUNCTION("""COMPUTED_VALUE"""),"Rapidement (Photo) 📷")</f>
        <v>Rapidement (Photo) 📷</v>
      </c>
      <c r="E8" s="50"/>
      <c r="F8" s="50" t="s">
        <v>1732</v>
      </c>
      <c r="G8" s="50" t="s">
        <v>1732</v>
      </c>
      <c r="H8" s="50" t="s">
        <v>1733</v>
      </c>
      <c r="I8" s="50"/>
      <c r="J8" s="50"/>
      <c r="K8" s="50"/>
      <c r="L8" s="50"/>
      <c r="M8" s="50"/>
      <c r="N8" s="50"/>
      <c r="O8" s="50"/>
      <c r="P8" s="50"/>
      <c r="Q8" s="50"/>
      <c r="R8" s="50"/>
      <c r="S8" s="50" t="s">
        <v>1734</v>
      </c>
      <c r="T8" s="50"/>
      <c r="U8" s="50"/>
      <c r="V8" s="50" t="s">
        <v>1731</v>
      </c>
      <c r="W8" s="50" t="s">
        <v>1735</v>
      </c>
      <c r="X8" s="50"/>
      <c r="Y8" s="50"/>
      <c r="Z8" s="50" t="s">
        <v>45</v>
      </c>
      <c r="AA8" s="50"/>
      <c r="AB8" s="50"/>
      <c r="AC8" s="50"/>
    </row>
    <row r="9">
      <c r="A9" s="48" t="s">
        <v>1729</v>
      </c>
      <c r="B9" s="49" t="s">
        <v>1736</v>
      </c>
      <c r="C9" s="48" t="s">
        <v>1737</v>
      </c>
      <c r="D9" s="50" t="str">
        <f>IFERROR(__xludf.DUMMYFUNCTION("""COMPUTED_VALUE"""),"Mensuel (Photo + Santé + Actions)")</f>
        <v>Mensuel (Photo + Santé + Actions)</v>
      </c>
      <c r="E9" s="50"/>
      <c r="F9" s="50" t="s">
        <v>1738</v>
      </c>
      <c r="G9" s="50" t="s">
        <v>1738</v>
      </c>
      <c r="H9" s="50" t="s">
        <v>1739</v>
      </c>
      <c r="I9" s="50"/>
      <c r="J9" s="50"/>
      <c r="K9" s="50"/>
      <c r="L9" s="50"/>
      <c r="M9" s="50"/>
      <c r="N9" s="50"/>
      <c r="O9" s="50"/>
      <c r="P9" s="50"/>
      <c r="Q9" s="50"/>
      <c r="R9" s="50"/>
      <c r="S9" s="50" t="s">
        <v>1740</v>
      </c>
      <c r="T9" s="50"/>
      <c r="U9" s="50"/>
      <c r="V9" s="50" t="s">
        <v>1737</v>
      </c>
      <c r="W9" s="50" t="s">
        <v>1735</v>
      </c>
      <c r="X9" s="50" t="s">
        <v>1741</v>
      </c>
      <c r="Y9" s="50" t="s">
        <v>1742</v>
      </c>
      <c r="Z9" s="50"/>
      <c r="AA9" s="50"/>
      <c r="AB9" s="50"/>
      <c r="AC9" s="50"/>
    </row>
    <row r="10">
      <c r="A10" s="48" t="s">
        <v>1729</v>
      </c>
      <c r="B10" s="49" t="s">
        <v>1743</v>
      </c>
      <c r="C10" s="48" t="s">
        <v>1744</v>
      </c>
      <c r="D10" s="50" t="str">
        <f>IFERROR(__xludf.DUMMYFUNCTION("""COMPUTED_VALUE"""),"Trimestriel (Photo + Santé + Actions + Mesures)")</f>
        <v>Trimestriel (Photo + Santé + Actions + Mesures)</v>
      </c>
      <c r="E10" s="50"/>
      <c r="F10" s="50" t="s">
        <v>1745</v>
      </c>
      <c r="G10" s="50" t="s">
        <v>1745</v>
      </c>
      <c r="H10" s="50" t="s">
        <v>1746</v>
      </c>
      <c r="I10" s="50"/>
      <c r="J10" s="50"/>
      <c r="K10" s="50"/>
      <c r="L10" s="50"/>
      <c r="M10" s="50"/>
      <c r="N10" s="50"/>
      <c r="O10" s="50"/>
      <c r="P10" s="50"/>
      <c r="Q10" s="50"/>
      <c r="R10" s="50"/>
      <c r="S10" s="50" t="s">
        <v>1747</v>
      </c>
      <c r="T10" s="50"/>
      <c r="U10" s="50"/>
      <c r="V10" s="50" t="s">
        <v>1744</v>
      </c>
      <c r="W10" s="50" t="s">
        <v>1735</v>
      </c>
      <c r="X10" s="50" t="s">
        <v>1741</v>
      </c>
      <c r="Y10" s="50" t="s">
        <v>1742</v>
      </c>
      <c r="Z10" s="50" t="s">
        <v>1748</v>
      </c>
      <c r="AA10" s="50"/>
      <c r="AB10" s="50"/>
      <c r="AC10" s="50"/>
    </row>
    <row r="11">
      <c r="A11" s="48" t="s">
        <v>1729</v>
      </c>
      <c r="B11" s="49" t="s">
        <v>1749</v>
      </c>
      <c r="C11" s="48" t="s">
        <v>1750</v>
      </c>
      <c r="D11" s="50" t="str">
        <f>IFERROR(__xludf.DUMMYFUNCTION("""COMPUTED_VALUE"""),"Récolte 🌾")</f>
        <v>Récolte 🌾</v>
      </c>
      <c r="E11" s="50"/>
      <c r="F11" s="50" t="s">
        <v>1751</v>
      </c>
      <c r="G11" s="50" t="s">
        <v>1751</v>
      </c>
      <c r="H11" s="50" t="s">
        <v>1752</v>
      </c>
      <c r="I11" s="50"/>
      <c r="J11" s="50"/>
      <c r="K11" s="50"/>
      <c r="L11" s="50"/>
      <c r="M11" s="50"/>
      <c r="N11" s="50"/>
      <c r="O11" s="50"/>
      <c r="P11" s="50"/>
      <c r="Q11" s="50"/>
      <c r="R11" s="50"/>
      <c r="S11" s="50" t="s">
        <v>1753</v>
      </c>
      <c r="T11" s="50"/>
      <c r="U11" s="50"/>
      <c r="V11" s="50" t="s">
        <v>1750</v>
      </c>
      <c r="W11" s="50" t="s">
        <v>1754</v>
      </c>
      <c r="X11" s="50" t="s">
        <v>1755</v>
      </c>
      <c r="Y11" s="50" t="s">
        <v>1756</v>
      </c>
      <c r="Z11" s="50" t="s">
        <v>45</v>
      </c>
      <c r="AA11" s="50"/>
      <c r="AB11" s="50"/>
      <c r="AC11" s="50"/>
    </row>
    <row r="12">
      <c r="A12" s="48" t="s">
        <v>1729</v>
      </c>
      <c r="B12" s="49" t="s">
        <v>1757</v>
      </c>
      <c r="C12" s="48" t="s">
        <v>1758</v>
      </c>
      <c r="D12" s="50" t="str">
        <f>IFERROR(__xludf.DUMMYFUNCTION("""COMPUTED_VALUE"""),"Nouveaux Et Récemment Transplantés")</f>
        <v>Nouveaux Et Récemment Transplantés</v>
      </c>
      <c r="E12" s="50"/>
      <c r="F12" s="50" t="s">
        <v>1759</v>
      </c>
      <c r="G12" s="50" t="s">
        <v>1759</v>
      </c>
      <c r="H12" s="50" t="s">
        <v>1760</v>
      </c>
      <c r="I12" s="50"/>
      <c r="J12" s="50"/>
      <c r="K12" s="50"/>
      <c r="L12" s="50"/>
      <c r="M12" s="50"/>
      <c r="N12" s="50"/>
      <c r="O12" s="50"/>
      <c r="P12" s="50"/>
      <c r="Q12" s="50"/>
      <c r="R12" s="50"/>
      <c r="S12" s="50" t="s">
        <v>1761</v>
      </c>
      <c r="T12" s="50"/>
      <c r="U12" s="50"/>
      <c r="V12" s="50" t="s">
        <v>1758</v>
      </c>
      <c r="W12" s="50" t="s">
        <v>1762</v>
      </c>
      <c r="X12" s="50"/>
      <c r="Y12" s="50" t="s">
        <v>45</v>
      </c>
      <c r="Z12" s="50" t="s">
        <v>45</v>
      </c>
      <c r="AA12" s="50"/>
      <c r="AB12" s="50"/>
      <c r="AC12" s="50"/>
    </row>
    <row r="13">
      <c r="A13" s="48" t="s">
        <v>1729</v>
      </c>
      <c r="B13" s="49" t="s">
        <v>1763</v>
      </c>
      <c r="C13" s="48" t="s">
        <v>1764</v>
      </c>
      <c r="D13" s="50" t="str">
        <f>IFERROR(__xludf.DUMMYFUNCTION("""COMPUTED_VALUE"""),"Bois De Bourgeon")</f>
        <v>Bois De Bourgeon</v>
      </c>
      <c r="E13" s="50"/>
      <c r="F13" s="50" t="s">
        <v>1765</v>
      </c>
      <c r="G13" s="50" t="s">
        <v>1766</v>
      </c>
      <c r="H13" s="50" t="s">
        <v>1767</v>
      </c>
      <c r="I13" s="50"/>
      <c r="J13" s="50"/>
      <c r="K13" s="50"/>
      <c r="L13" s="50"/>
      <c r="M13" s="50"/>
      <c r="N13" s="50"/>
      <c r="O13" s="50"/>
      <c r="P13" s="50"/>
      <c r="Q13" s="50"/>
      <c r="R13" s="50"/>
      <c r="S13" s="50"/>
      <c r="T13" s="50"/>
      <c r="U13" s="50"/>
      <c r="V13" s="50" t="s">
        <v>1768</v>
      </c>
      <c r="W13" s="50" t="s">
        <v>1769</v>
      </c>
      <c r="X13" s="50" t="s">
        <v>1770</v>
      </c>
      <c r="Y13" s="50" t="s">
        <v>45</v>
      </c>
      <c r="Z13" s="50" t="s">
        <v>45</v>
      </c>
      <c r="AA13" s="50"/>
      <c r="AB13" s="50"/>
      <c r="AC13" s="50"/>
    </row>
    <row r="14">
      <c r="A14" s="48" t="s">
        <v>1729</v>
      </c>
      <c r="B14" s="49" t="s">
        <v>1771</v>
      </c>
      <c r="C14" s="48" t="s">
        <v>20</v>
      </c>
      <c r="D14" s="50" t="str">
        <f>IFERROR(__xludf.DUMMYFUNCTION("""COMPUTED_VALUE"""),"Greffage")</f>
        <v>Greffage</v>
      </c>
      <c r="E14" s="50"/>
      <c r="F14" s="50" t="s">
        <v>1772</v>
      </c>
      <c r="G14" s="50" t="s">
        <v>1772</v>
      </c>
      <c r="H14" s="50" t="s">
        <v>1773</v>
      </c>
      <c r="I14" s="50"/>
      <c r="J14" s="50"/>
      <c r="K14" s="50"/>
      <c r="L14" s="50"/>
      <c r="M14" s="50"/>
      <c r="N14" s="50"/>
      <c r="O14" s="50"/>
      <c r="P14" s="50"/>
      <c r="Q14" s="50"/>
      <c r="R14" s="50"/>
      <c r="S14" s="50" t="s">
        <v>1774</v>
      </c>
      <c r="T14" s="50"/>
      <c r="U14" s="50"/>
      <c r="V14" s="50" t="s">
        <v>20</v>
      </c>
      <c r="W14" s="50" t="s">
        <v>1775</v>
      </c>
      <c r="X14" s="50" t="s">
        <v>1769</v>
      </c>
      <c r="Y14" s="50"/>
      <c r="Z14" s="50" t="s">
        <v>45</v>
      </c>
      <c r="AA14" s="50"/>
      <c r="AB14" s="50"/>
      <c r="AC14" s="50"/>
    </row>
    <row r="15">
      <c r="A15" s="48" t="s">
        <v>1729</v>
      </c>
      <c r="B15" s="49" t="s">
        <v>1776</v>
      </c>
      <c r="C15" s="48" t="s">
        <v>1777</v>
      </c>
      <c r="D15" s="50" t="str">
        <f>IFERROR(__xludf.DUMMYFUNCTION("""COMPUTED_VALUE"""),"Météo")</f>
        <v>Météo</v>
      </c>
      <c r="E15" s="50"/>
      <c r="F15" s="50" t="s">
        <v>1778</v>
      </c>
      <c r="G15" s="50" t="s">
        <v>1778</v>
      </c>
      <c r="H15" s="50" t="s">
        <v>1779</v>
      </c>
      <c r="I15" s="50"/>
      <c r="J15" s="50"/>
      <c r="K15" s="50"/>
      <c r="L15" s="50"/>
      <c r="M15" s="50"/>
      <c r="N15" s="50"/>
      <c r="O15" s="50"/>
      <c r="P15" s="50"/>
      <c r="Q15" s="50"/>
      <c r="R15" s="50"/>
      <c r="S15" s="50"/>
      <c r="T15" s="50"/>
      <c r="U15" s="50"/>
      <c r="V15" s="50" t="s">
        <v>1777</v>
      </c>
      <c r="W15" s="50" t="s">
        <v>1780</v>
      </c>
      <c r="X15" s="50" t="s">
        <v>1781</v>
      </c>
      <c r="Y15" s="50" t="s">
        <v>1782</v>
      </c>
      <c r="Z15" s="50" t="s">
        <v>45</v>
      </c>
      <c r="AA15" s="50"/>
      <c r="AB15" s="50"/>
      <c r="AC15" s="50"/>
    </row>
    <row r="16">
      <c r="A16" s="48" t="s">
        <v>1729</v>
      </c>
      <c r="B16" s="49" t="s">
        <v>1783</v>
      </c>
      <c r="C16" s="48" t="s">
        <v>1784</v>
      </c>
      <c r="D16" s="50" t="str">
        <f>IFERROR(__xludf.DUMMYFUNCTION("""COMPUTED_VALUE"""),"Compost")</f>
        <v>Compost</v>
      </c>
      <c r="E16" s="50"/>
      <c r="F16" s="50" t="s">
        <v>1784</v>
      </c>
      <c r="G16" s="50" t="s">
        <v>1784</v>
      </c>
      <c r="H16" s="50" t="s">
        <v>1785</v>
      </c>
      <c r="I16" s="50"/>
      <c r="J16" s="50"/>
      <c r="K16" s="50"/>
      <c r="L16" s="50"/>
      <c r="M16" s="50"/>
      <c r="N16" s="50"/>
      <c r="O16" s="50"/>
      <c r="P16" s="50"/>
      <c r="Q16" s="50"/>
      <c r="R16" s="50"/>
      <c r="S16" s="50" t="s">
        <v>1786</v>
      </c>
      <c r="T16" s="50"/>
      <c r="U16" s="50"/>
      <c r="V16" s="50" t="s">
        <v>1784</v>
      </c>
      <c r="W16" s="50" t="s">
        <v>1787</v>
      </c>
      <c r="X16" s="50"/>
      <c r="Y16" s="50" t="s">
        <v>45</v>
      </c>
      <c r="Z16" s="50" t="s">
        <v>45</v>
      </c>
      <c r="AA16" s="50"/>
      <c r="AB16" s="50"/>
      <c r="AC16" s="50"/>
    </row>
    <row r="17">
      <c r="A17" s="48" t="s">
        <v>1729</v>
      </c>
      <c r="B17" s="49" t="s">
        <v>1788</v>
      </c>
      <c r="C17" s="48" t="s">
        <v>1789</v>
      </c>
      <c r="D17" s="50" t="str">
        <f>IFERROR(__xludf.DUMMYFUNCTION("""COMPUTED_VALUE"""),"Nursery")</f>
        <v>Nursery</v>
      </c>
      <c r="E17" s="50"/>
      <c r="F17" s="50" t="s">
        <v>1790</v>
      </c>
      <c r="G17" s="50" t="s">
        <v>1790</v>
      </c>
      <c r="H17" s="50" t="s">
        <v>1791</v>
      </c>
      <c r="I17" s="50"/>
      <c r="J17" s="50"/>
      <c r="K17" s="50"/>
      <c r="L17" s="50"/>
      <c r="M17" s="50"/>
      <c r="N17" s="50"/>
      <c r="O17" s="50"/>
      <c r="P17" s="50"/>
      <c r="Q17" s="50"/>
      <c r="R17" s="50"/>
      <c r="S17" s="50"/>
      <c r="T17" s="50"/>
      <c r="U17" s="50"/>
      <c r="V17" s="50" t="s">
        <v>1789</v>
      </c>
      <c r="W17" s="50" t="s">
        <v>1792</v>
      </c>
      <c r="X17" s="50" t="s">
        <v>45</v>
      </c>
      <c r="Y17" s="50" t="s">
        <v>45</v>
      </c>
      <c r="Z17" s="50" t="s">
        <v>45</v>
      </c>
      <c r="AA17" s="50"/>
      <c r="AB17" s="50"/>
      <c r="AC17" s="50"/>
    </row>
    <row r="18">
      <c r="A18" s="48" t="s">
        <v>1729</v>
      </c>
      <c r="B18" s="49" t="s">
        <v>1793</v>
      </c>
      <c r="C18" s="48" t="s">
        <v>1794</v>
      </c>
      <c r="D18" s="50" t="str">
        <f>IFERROR(__xludf.DUMMYFUNCTION("""COMPUTED_VALUE"""),"Germination")</f>
        <v>Germination</v>
      </c>
      <c r="E18" s="50"/>
      <c r="F18" s="50" t="s">
        <v>1794</v>
      </c>
      <c r="G18" s="50" t="s">
        <v>1794</v>
      </c>
      <c r="H18" s="50" t="s">
        <v>1795</v>
      </c>
      <c r="I18" s="50"/>
      <c r="J18" s="50"/>
      <c r="K18" s="50"/>
      <c r="L18" s="50"/>
      <c r="M18" s="50"/>
      <c r="N18" s="50"/>
      <c r="O18" s="50"/>
      <c r="P18" s="50"/>
      <c r="Q18" s="50"/>
      <c r="R18" s="50"/>
      <c r="S18" s="50"/>
      <c r="T18" s="50"/>
      <c r="U18" s="50"/>
      <c r="V18" s="50" t="s">
        <v>1794</v>
      </c>
      <c r="W18" s="50" t="s">
        <v>1796</v>
      </c>
      <c r="X18" s="50" t="s">
        <v>45</v>
      </c>
      <c r="Y18" s="50" t="s">
        <v>45</v>
      </c>
      <c r="Z18" s="50" t="s">
        <v>45</v>
      </c>
      <c r="AA18" s="50"/>
      <c r="AB18" s="50"/>
      <c r="AC18" s="50"/>
    </row>
    <row r="19">
      <c r="A19" s="48" t="s">
        <v>1729</v>
      </c>
      <c r="B19" s="49" t="s">
        <v>1797</v>
      </c>
      <c r="C19" s="48" t="s">
        <v>1798</v>
      </c>
      <c r="D19" s="50" t="str">
        <f>IFERROR(__xludf.DUMMYFUNCTION("""COMPUTED_VALUE"""),"Utilisation De L'Eau")</f>
        <v>Utilisation De L'Eau</v>
      </c>
      <c r="E19" s="50"/>
      <c r="F19" s="50" t="s">
        <v>1799</v>
      </c>
      <c r="G19" s="50" t="s">
        <v>1799</v>
      </c>
      <c r="H19" s="50" t="s">
        <v>1800</v>
      </c>
      <c r="I19" s="50"/>
      <c r="J19" s="50"/>
      <c r="K19" s="50"/>
      <c r="L19" s="50"/>
      <c r="M19" s="50"/>
      <c r="N19" s="50"/>
      <c r="O19" s="50"/>
      <c r="P19" s="50"/>
      <c r="Q19" s="50"/>
      <c r="R19" s="50"/>
      <c r="S19" s="50"/>
      <c r="T19" s="50"/>
      <c r="U19" s="50"/>
      <c r="V19" s="50" t="s">
        <v>1798</v>
      </c>
      <c r="W19" s="50" t="s">
        <v>1801</v>
      </c>
      <c r="X19" s="50" t="s">
        <v>1802</v>
      </c>
      <c r="Y19" s="50" t="s">
        <v>1803</v>
      </c>
      <c r="Z19" s="50" t="s">
        <v>45</v>
      </c>
      <c r="AA19" s="50"/>
      <c r="AB19" s="50"/>
      <c r="AC19" s="50"/>
    </row>
    <row r="20">
      <c r="A20" s="48" t="s">
        <v>1729</v>
      </c>
      <c r="B20" s="49" t="s">
        <v>1804</v>
      </c>
      <c r="C20" s="48" t="s">
        <v>1805</v>
      </c>
      <c r="D20" s="50" t="str">
        <f>IFERROR(__xludf.DUMMYFUNCTION("""COMPUTED_VALUE"""),"Tonte De L'Herbe")</f>
        <v>Tonte De L'Herbe</v>
      </c>
      <c r="E20" s="50"/>
      <c r="F20" s="50" t="s">
        <v>1806</v>
      </c>
      <c r="G20" s="50" t="s">
        <v>1806</v>
      </c>
      <c r="H20" s="50" t="s">
        <v>1807</v>
      </c>
      <c r="I20" s="50"/>
      <c r="J20" s="50"/>
      <c r="K20" s="50"/>
      <c r="L20" s="50"/>
      <c r="M20" s="50"/>
      <c r="N20" s="50"/>
      <c r="O20" s="50"/>
      <c r="P20" s="50"/>
      <c r="Q20" s="50"/>
      <c r="R20" s="50"/>
      <c r="S20" s="50"/>
      <c r="T20" s="50"/>
      <c r="U20" s="50"/>
      <c r="V20" s="50" t="s">
        <v>1805</v>
      </c>
      <c r="W20" s="50" t="s">
        <v>1775</v>
      </c>
      <c r="X20" s="50" t="s">
        <v>1808</v>
      </c>
      <c r="Y20" s="50" t="s">
        <v>45</v>
      </c>
      <c r="Z20" s="50" t="s">
        <v>45</v>
      </c>
      <c r="AA20" s="50"/>
      <c r="AB20" s="50"/>
      <c r="AC20" s="50"/>
    </row>
    <row r="21">
      <c r="A21" s="48" t="s">
        <v>1729</v>
      </c>
      <c r="B21" s="49" t="s">
        <v>1809</v>
      </c>
      <c r="C21" s="48" t="s">
        <v>1810</v>
      </c>
      <c r="D21" s="50" t="str">
        <f>IFERROR(__xludf.DUMMYFUNCTION("""COMPUTED_VALUE"""),"Bourne")</f>
        <v>Bourne</v>
      </c>
      <c r="E21" s="50"/>
      <c r="F21" s="50" t="s">
        <v>1810</v>
      </c>
      <c r="G21" s="50" t="s">
        <v>1810</v>
      </c>
      <c r="H21" s="50" t="s">
        <v>1811</v>
      </c>
      <c r="I21" s="50"/>
      <c r="J21" s="50"/>
      <c r="K21" s="50"/>
      <c r="L21" s="50"/>
      <c r="M21" s="50"/>
      <c r="N21" s="50"/>
      <c r="O21" s="50"/>
      <c r="P21" s="50"/>
      <c r="Q21" s="50"/>
      <c r="R21" s="50"/>
      <c r="S21" s="50" t="s">
        <v>1812</v>
      </c>
      <c r="T21" s="50"/>
      <c r="U21" s="50"/>
      <c r="V21" s="50" t="s">
        <v>1810</v>
      </c>
      <c r="W21" s="50" t="s">
        <v>1813</v>
      </c>
      <c r="X21" s="50" t="s">
        <v>45</v>
      </c>
      <c r="Y21" s="50" t="s">
        <v>45</v>
      </c>
      <c r="Z21" s="50" t="s">
        <v>45</v>
      </c>
      <c r="AA21" s="50"/>
      <c r="AB21" s="50"/>
      <c r="AC21" s="50"/>
    </row>
    <row r="22">
      <c r="A22" s="48"/>
      <c r="B22" s="49"/>
      <c r="C22" s="48"/>
      <c r="D22" s="50" t="str">
        <f>IFERROR(__xludf.DUMMYFUNCTION("""COMPUTED_VALUE"""),"")</f>
        <v/>
      </c>
      <c r="E22" s="50"/>
      <c r="F22" s="50"/>
      <c r="G22" s="50"/>
      <c r="H22" s="50" t="s">
        <v>1710</v>
      </c>
      <c r="I22" s="50"/>
      <c r="J22" s="50"/>
      <c r="K22" s="50"/>
      <c r="L22" s="50"/>
      <c r="M22" s="50"/>
      <c r="N22" s="50"/>
      <c r="O22" s="50"/>
      <c r="P22" s="50"/>
      <c r="Q22" s="50"/>
      <c r="R22" s="50"/>
      <c r="S22" s="50"/>
      <c r="T22" s="50"/>
      <c r="U22" s="50"/>
      <c r="V22" s="50" t="s">
        <v>45</v>
      </c>
      <c r="W22" s="50" t="s">
        <v>45</v>
      </c>
      <c r="X22" s="50" t="s">
        <v>45</v>
      </c>
      <c r="Y22" s="50" t="s">
        <v>45</v>
      </c>
      <c r="Z22" s="50" t="s">
        <v>45</v>
      </c>
      <c r="AA22" s="50"/>
      <c r="AB22" s="50"/>
      <c r="AC22" s="50"/>
    </row>
    <row r="23">
      <c r="A23" s="48" t="s">
        <v>1814</v>
      </c>
      <c r="B23" s="49" t="s">
        <v>1815</v>
      </c>
      <c r="C23" s="48" t="s">
        <v>1816</v>
      </c>
      <c r="D23" s="50" t="str">
        <f>IFERROR(__xludf.DUMMYFUNCTION("""COMPUTED_VALUE"""),"Démarrage / Plantation")</f>
        <v>Démarrage / Plantation</v>
      </c>
      <c r="E23" s="50"/>
      <c r="F23" s="50"/>
      <c r="G23" s="50"/>
      <c r="H23" s="50" t="s">
        <v>1710</v>
      </c>
      <c r="I23" s="50"/>
      <c r="J23" s="50"/>
      <c r="K23" s="50"/>
      <c r="L23" s="50"/>
      <c r="M23" s="50"/>
      <c r="N23" s="50"/>
      <c r="O23" s="50"/>
      <c r="P23" s="50"/>
      <c r="Q23" s="50"/>
      <c r="R23" s="50"/>
      <c r="S23" s="50"/>
      <c r="T23" s="50"/>
      <c r="U23" s="50"/>
      <c r="V23" s="50" t="s">
        <v>1816</v>
      </c>
      <c r="W23" s="50" t="s">
        <v>45</v>
      </c>
      <c r="X23" s="50" t="s">
        <v>45</v>
      </c>
      <c r="Y23" s="50" t="s">
        <v>45</v>
      </c>
      <c r="Z23" s="50" t="s">
        <v>45</v>
      </c>
      <c r="AA23" s="50"/>
      <c r="AB23" s="50"/>
      <c r="AC23" s="50"/>
    </row>
    <row r="24">
      <c r="A24" s="48" t="s">
        <v>1814</v>
      </c>
      <c r="B24" s="49" t="s">
        <v>1817</v>
      </c>
      <c r="C24" s="48" t="s">
        <v>1818</v>
      </c>
      <c r="D24" s="50" t="str">
        <f>IFERROR(__xludf.DUMMYFUNCTION("""COMPUTED_VALUE"""),"Nombre De Germinations")</f>
        <v>Nombre De Germinations</v>
      </c>
      <c r="E24" s="50"/>
      <c r="F24" s="50"/>
      <c r="G24" s="50"/>
      <c r="H24" s="50" t="s">
        <v>1710</v>
      </c>
      <c r="I24" s="50"/>
      <c r="J24" s="50"/>
      <c r="K24" s="50"/>
      <c r="L24" s="50"/>
      <c r="M24" s="50"/>
      <c r="N24" s="50"/>
      <c r="O24" s="50"/>
      <c r="P24" s="50"/>
      <c r="Q24" s="50"/>
      <c r="R24" s="50"/>
      <c r="S24" s="50"/>
      <c r="T24" s="50"/>
      <c r="U24" s="50"/>
      <c r="V24" s="50" t="s">
        <v>1818</v>
      </c>
      <c r="W24" s="50" t="s">
        <v>45</v>
      </c>
      <c r="X24" s="50" t="s">
        <v>45</v>
      </c>
      <c r="Y24" s="50" t="s">
        <v>45</v>
      </c>
      <c r="Z24" s="50" t="s">
        <v>45</v>
      </c>
      <c r="AA24" s="50"/>
      <c r="AB24" s="50"/>
      <c r="AC24" s="50"/>
    </row>
    <row r="25">
      <c r="A25" s="48"/>
      <c r="B25" s="49"/>
      <c r="C25" s="48"/>
      <c r="D25" s="50" t="str">
        <f>IFERROR(__xludf.DUMMYFUNCTION("""COMPUTED_VALUE"""),"")</f>
        <v/>
      </c>
      <c r="E25" s="50"/>
      <c r="F25" s="50"/>
      <c r="G25" s="50"/>
      <c r="H25" s="50" t="s">
        <v>1710</v>
      </c>
      <c r="I25" s="50"/>
      <c r="J25" s="50"/>
      <c r="K25" s="50"/>
      <c r="L25" s="50"/>
      <c r="M25" s="50"/>
      <c r="N25" s="50"/>
      <c r="O25" s="50"/>
      <c r="P25" s="50"/>
      <c r="Q25" s="50"/>
      <c r="R25" s="50"/>
      <c r="S25" s="50"/>
      <c r="T25" s="50"/>
      <c r="U25" s="50"/>
      <c r="V25" s="50" t="s">
        <v>45</v>
      </c>
      <c r="W25" s="50" t="s">
        <v>45</v>
      </c>
      <c r="X25" s="50" t="s">
        <v>45</v>
      </c>
      <c r="Y25" s="50" t="s">
        <v>45</v>
      </c>
      <c r="Z25" s="50" t="s">
        <v>45</v>
      </c>
      <c r="AA25" s="50"/>
      <c r="AB25" s="50"/>
      <c r="AC25" s="50"/>
    </row>
    <row r="26">
      <c r="A26" s="48" t="s">
        <v>1819</v>
      </c>
      <c r="B26" s="49" t="s">
        <v>1820</v>
      </c>
      <c r="C26" s="48" t="s">
        <v>1821</v>
      </c>
      <c r="D26" s="50" t="str">
        <f>IFERROR(__xludf.DUMMYFUNCTION("""COMPUTED_VALUE"""),"Pluie")</f>
        <v>Pluie</v>
      </c>
      <c r="E26" s="50"/>
      <c r="F26" s="50" t="s">
        <v>1822</v>
      </c>
      <c r="G26" s="50" t="s">
        <v>1822</v>
      </c>
      <c r="H26" s="50" t="s">
        <v>1823</v>
      </c>
      <c r="I26" s="50"/>
      <c r="J26" s="50"/>
      <c r="K26" s="50"/>
      <c r="L26" s="50"/>
      <c r="M26" s="50"/>
      <c r="N26" s="50"/>
      <c r="O26" s="50"/>
      <c r="P26" s="50"/>
      <c r="Q26" s="50"/>
      <c r="R26" s="50"/>
      <c r="S26" s="50"/>
      <c r="T26" s="50"/>
      <c r="U26" s="50"/>
      <c r="V26" s="50" t="s">
        <v>1821</v>
      </c>
      <c r="W26" s="50" t="s">
        <v>1781</v>
      </c>
      <c r="X26" s="50" t="s">
        <v>1824</v>
      </c>
      <c r="Y26" s="50" t="s">
        <v>45</v>
      </c>
      <c r="Z26" s="50" t="s">
        <v>45</v>
      </c>
      <c r="AA26" s="50"/>
      <c r="AB26" s="50"/>
      <c r="AC26" s="50"/>
    </row>
    <row r="27">
      <c r="A27" s="48" t="s">
        <v>1819</v>
      </c>
      <c r="B27" s="49" t="s">
        <v>1825</v>
      </c>
      <c r="C27" s="48" t="s">
        <v>1826</v>
      </c>
      <c r="D27" s="50" t="str">
        <f>IFERROR(__xludf.DUMMYFUNCTION("""COMPUTED_VALUE"""),"Vent")</f>
        <v>Vent</v>
      </c>
      <c r="E27" s="50"/>
      <c r="F27" s="50" t="s">
        <v>1827</v>
      </c>
      <c r="G27" s="50" t="s">
        <v>1827</v>
      </c>
      <c r="H27" s="50" t="s">
        <v>1828</v>
      </c>
      <c r="I27" s="50"/>
      <c r="J27" s="50"/>
      <c r="K27" s="50"/>
      <c r="L27" s="50"/>
      <c r="M27" s="50"/>
      <c r="N27" s="50"/>
      <c r="O27" s="50"/>
      <c r="P27" s="50"/>
      <c r="Q27" s="50"/>
      <c r="R27" s="50"/>
      <c r="S27" s="50"/>
      <c r="T27" s="50"/>
      <c r="U27" s="50"/>
      <c r="V27" s="50" t="s">
        <v>1826</v>
      </c>
      <c r="W27" s="50" t="s">
        <v>1829</v>
      </c>
      <c r="X27" s="50"/>
      <c r="Y27" s="50" t="s">
        <v>45</v>
      </c>
      <c r="Z27" s="50" t="s">
        <v>45</v>
      </c>
      <c r="AA27" s="50"/>
      <c r="AB27" s="50"/>
      <c r="AC27" s="50"/>
    </row>
    <row r="28">
      <c r="A28" s="48" t="s">
        <v>1819</v>
      </c>
      <c r="B28" s="49" t="s">
        <v>1830</v>
      </c>
      <c r="C28" s="48" t="s">
        <v>1831</v>
      </c>
      <c r="D28" s="50" t="str">
        <f>IFERROR(__xludf.DUMMYFUNCTION("""COMPUTED_VALUE"""),"Feu")</f>
        <v>Feu</v>
      </c>
      <c r="E28" s="50"/>
      <c r="F28" s="50" t="s">
        <v>1832</v>
      </c>
      <c r="G28" s="50" t="s">
        <v>1832</v>
      </c>
      <c r="H28" s="50" t="s">
        <v>1833</v>
      </c>
      <c r="I28" s="50"/>
      <c r="J28" s="50"/>
      <c r="K28" s="50"/>
      <c r="L28" s="50"/>
      <c r="M28" s="50"/>
      <c r="N28" s="50"/>
      <c r="O28" s="50"/>
      <c r="P28" s="50"/>
      <c r="Q28" s="50"/>
      <c r="R28" s="50"/>
      <c r="S28" s="50"/>
      <c r="T28" s="50"/>
      <c r="U28" s="50"/>
      <c r="V28" s="50" t="s">
        <v>1831</v>
      </c>
      <c r="W28" s="50" t="s">
        <v>1834</v>
      </c>
      <c r="X28" s="50"/>
      <c r="Y28" s="50" t="s">
        <v>45</v>
      </c>
      <c r="Z28" s="50" t="s">
        <v>45</v>
      </c>
      <c r="AA28" s="50"/>
      <c r="AB28" s="50"/>
      <c r="AC28" s="50"/>
    </row>
    <row r="29">
      <c r="A29" s="48"/>
      <c r="B29" s="49"/>
      <c r="C29" s="48"/>
      <c r="D29" s="50" t="str">
        <f>IFERROR(__xludf.DUMMYFUNCTION("""COMPUTED_VALUE"""),"")</f>
        <v/>
      </c>
      <c r="E29" s="50"/>
      <c r="F29" s="50"/>
      <c r="G29" s="50"/>
      <c r="H29" s="50" t="s">
        <v>1710</v>
      </c>
      <c r="I29" s="50"/>
      <c r="J29" s="50"/>
      <c r="K29" s="50"/>
      <c r="L29" s="50"/>
      <c r="M29" s="50"/>
      <c r="N29" s="50"/>
      <c r="O29" s="50"/>
      <c r="P29" s="50"/>
      <c r="Q29" s="50"/>
      <c r="R29" s="50"/>
      <c r="S29" s="50"/>
      <c r="T29" s="50"/>
      <c r="U29" s="50"/>
      <c r="V29" s="50" t="s">
        <v>45</v>
      </c>
      <c r="W29" s="50" t="s">
        <v>45</v>
      </c>
      <c r="X29" s="50" t="s">
        <v>45</v>
      </c>
      <c r="Y29" s="50" t="s">
        <v>45</v>
      </c>
      <c r="Z29" s="50" t="s">
        <v>45</v>
      </c>
      <c r="AA29" s="50"/>
      <c r="AB29" s="50"/>
      <c r="AC29" s="50"/>
    </row>
    <row r="30">
      <c r="A30" s="48" t="s">
        <v>1835</v>
      </c>
      <c r="B30" s="49" t="s">
        <v>1836</v>
      </c>
      <c r="C30" s="48" t="s">
        <v>1837</v>
      </c>
      <c r="D30" s="50" t="str">
        <f>IFERROR(__xludf.DUMMYFUNCTION("""COMPUTED_VALUE"""),"Anacardier")</f>
        <v>Anacardier</v>
      </c>
      <c r="E30" s="50"/>
      <c r="F30" s="50" t="s">
        <v>1838</v>
      </c>
      <c r="G30" s="50" t="s">
        <v>1838</v>
      </c>
      <c r="H30" s="50" t="s">
        <v>1839</v>
      </c>
      <c r="I30" s="50"/>
      <c r="J30" s="50"/>
      <c r="K30" s="50"/>
      <c r="L30" s="50"/>
      <c r="M30" s="50"/>
      <c r="N30" s="50"/>
      <c r="O30" s="50"/>
      <c r="P30" s="50"/>
      <c r="Q30" s="50"/>
      <c r="R30" s="50"/>
      <c r="S30" s="50"/>
      <c r="T30" s="50"/>
      <c r="U30" s="50"/>
      <c r="V30" s="50" t="s">
        <v>1837</v>
      </c>
      <c r="W30" s="50" t="s">
        <v>1840</v>
      </c>
      <c r="X30" s="50"/>
      <c r="Y30" s="50" t="s">
        <v>45</v>
      </c>
      <c r="Z30" s="50" t="s">
        <v>45</v>
      </c>
      <c r="AA30" s="50"/>
      <c r="AB30" s="50"/>
      <c r="AC30" s="50"/>
    </row>
    <row r="31">
      <c r="A31" s="48" t="s">
        <v>1835</v>
      </c>
      <c r="B31" s="49" t="s">
        <v>1841</v>
      </c>
      <c r="C31" s="48" t="s">
        <v>1842</v>
      </c>
      <c r="D31" s="50" t="str">
        <f>IFERROR(__xludf.DUMMYFUNCTION("""COMPUTED_VALUE"""),"Arbre")</f>
        <v>Arbre</v>
      </c>
      <c r="E31" s="50"/>
      <c r="F31" s="50" t="s">
        <v>1843</v>
      </c>
      <c r="G31" s="50" t="s">
        <v>1843</v>
      </c>
      <c r="H31" s="50" t="s">
        <v>1844</v>
      </c>
      <c r="I31" s="50"/>
      <c r="J31" s="50"/>
      <c r="K31" s="50"/>
      <c r="L31" s="50"/>
      <c r="M31" s="50"/>
      <c r="N31" s="50"/>
      <c r="O31" s="50"/>
      <c r="P31" s="50"/>
      <c r="Q31" s="50"/>
      <c r="R31" s="50"/>
      <c r="S31" s="50" t="s">
        <v>1845</v>
      </c>
      <c r="T31" s="50"/>
      <c r="U31" s="50"/>
      <c r="V31" s="50" t="s">
        <v>1842</v>
      </c>
      <c r="W31" s="50" t="s">
        <v>1846</v>
      </c>
      <c r="X31" s="50" t="s">
        <v>1847</v>
      </c>
      <c r="Y31" s="50" t="s">
        <v>45</v>
      </c>
      <c r="Z31" s="50" t="s">
        <v>45</v>
      </c>
      <c r="AA31" s="50"/>
      <c r="AB31" s="50"/>
      <c r="AC31" s="50"/>
    </row>
    <row r="32">
      <c r="A32" s="48" t="s">
        <v>1835</v>
      </c>
      <c r="B32" s="49" t="s">
        <v>1848</v>
      </c>
      <c r="C32" s="48" t="s">
        <v>1849</v>
      </c>
      <c r="D32" s="50" t="str">
        <f>IFERROR(__xludf.DUMMYFUNCTION("""COMPUTED_VALUE"""),"Plante Vivace")</f>
        <v>Plante Vivace</v>
      </c>
      <c r="E32" s="50"/>
      <c r="F32" s="50" t="s">
        <v>1850</v>
      </c>
      <c r="G32" s="50" t="s">
        <v>1850</v>
      </c>
      <c r="H32" s="50" t="s">
        <v>1851</v>
      </c>
      <c r="I32" s="50"/>
      <c r="J32" s="50"/>
      <c r="K32" s="50"/>
      <c r="L32" s="50"/>
      <c r="M32" s="50"/>
      <c r="N32" s="50"/>
      <c r="O32" s="50"/>
      <c r="P32" s="50"/>
      <c r="Q32" s="50"/>
      <c r="R32" s="50"/>
      <c r="S32" s="50" t="s">
        <v>1852</v>
      </c>
      <c r="T32" s="50"/>
      <c r="U32" s="50"/>
      <c r="V32" s="50" t="s">
        <v>1849</v>
      </c>
      <c r="W32" s="50" t="s">
        <v>1853</v>
      </c>
      <c r="X32" s="50" t="s">
        <v>45</v>
      </c>
      <c r="Y32" s="50" t="s">
        <v>45</v>
      </c>
      <c r="Z32" s="50" t="s">
        <v>45</v>
      </c>
      <c r="AA32" s="50"/>
      <c r="AB32" s="50"/>
      <c r="AC32" s="50"/>
    </row>
    <row r="33">
      <c r="A33" s="48" t="s">
        <v>1835</v>
      </c>
      <c r="B33" s="49" t="s">
        <v>1854</v>
      </c>
      <c r="C33" s="48" t="s">
        <v>1855</v>
      </c>
      <c r="D33" s="50" t="str">
        <f>IFERROR(__xludf.DUMMYFUNCTION("""COMPUTED_VALUE"""),"Plante Annuelle")</f>
        <v>Plante Annuelle</v>
      </c>
      <c r="E33" s="50"/>
      <c r="F33" s="50" t="s">
        <v>1856</v>
      </c>
      <c r="G33" s="50" t="s">
        <v>1856</v>
      </c>
      <c r="H33" s="50" t="s">
        <v>1857</v>
      </c>
      <c r="I33" s="50"/>
      <c r="J33" s="50"/>
      <c r="K33" s="50"/>
      <c r="L33" s="50"/>
      <c r="M33" s="50"/>
      <c r="N33" s="50"/>
      <c r="O33" s="50"/>
      <c r="P33" s="50"/>
      <c r="Q33" s="50"/>
      <c r="R33" s="50"/>
      <c r="S33" s="50" t="s">
        <v>1858</v>
      </c>
      <c r="T33" s="50"/>
      <c r="U33" s="50"/>
      <c r="V33" s="50" t="s">
        <v>1855</v>
      </c>
      <c r="W33" s="50" t="s">
        <v>1859</v>
      </c>
      <c r="X33" s="50" t="s">
        <v>1860</v>
      </c>
      <c r="Y33" s="50" t="s">
        <v>1861</v>
      </c>
      <c r="Z33" s="50" t="s">
        <v>45</v>
      </c>
      <c r="AA33" s="50"/>
      <c r="AB33" s="50"/>
      <c r="AC33" s="50"/>
    </row>
    <row r="34">
      <c r="A34" s="48" t="s">
        <v>1835</v>
      </c>
      <c r="B34" s="49" t="s">
        <v>1862</v>
      </c>
      <c r="C34" s="48" t="s">
        <v>1863</v>
      </c>
      <c r="D34" s="50" t="str">
        <f>IFERROR(__xludf.DUMMYFUNCTION("""COMPUTED_VALUE"""),"Autre Plante")</f>
        <v>Autre Plante</v>
      </c>
      <c r="E34" s="50"/>
      <c r="F34" s="50" t="s">
        <v>1864</v>
      </c>
      <c r="G34" s="50" t="s">
        <v>1864</v>
      </c>
      <c r="H34" s="50" t="s">
        <v>1865</v>
      </c>
      <c r="I34" s="50"/>
      <c r="J34" s="50"/>
      <c r="K34" s="50"/>
      <c r="L34" s="50"/>
      <c r="M34" s="50"/>
      <c r="N34" s="50"/>
      <c r="O34" s="50"/>
      <c r="P34" s="50"/>
      <c r="Q34" s="50"/>
      <c r="R34" s="50"/>
      <c r="S34" s="50"/>
      <c r="T34" s="50"/>
      <c r="U34" s="50"/>
      <c r="V34" s="50" t="s">
        <v>1863</v>
      </c>
      <c r="W34" s="50" t="s">
        <v>1769</v>
      </c>
      <c r="X34" s="50" t="s">
        <v>45</v>
      </c>
      <c r="Y34" s="50" t="s">
        <v>45</v>
      </c>
      <c r="Z34" s="50" t="s">
        <v>45</v>
      </c>
      <c r="AA34" s="50"/>
      <c r="AB34" s="50"/>
      <c r="AC34" s="50"/>
    </row>
    <row r="35">
      <c r="A35" s="48"/>
      <c r="B35" s="49"/>
      <c r="C35" s="48"/>
      <c r="D35" s="50" t="str">
        <f>IFERROR(__xludf.DUMMYFUNCTION("""COMPUTED_VALUE"""),"")</f>
        <v/>
      </c>
      <c r="E35" s="50"/>
      <c r="F35" s="50"/>
      <c r="G35" s="50"/>
      <c r="H35" s="50" t="s">
        <v>1710</v>
      </c>
      <c r="I35" s="50"/>
      <c r="J35" s="50"/>
      <c r="K35" s="50"/>
      <c r="L35" s="50"/>
      <c r="M35" s="50"/>
      <c r="N35" s="50"/>
      <c r="O35" s="50"/>
      <c r="P35" s="50"/>
      <c r="Q35" s="50"/>
      <c r="R35" s="50"/>
      <c r="S35" s="50"/>
      <c r="T35" s="50"/>
      <c r="U35" s="50"/>
      <c r="V35" s="50" t="s">
        <v>45</v>
      </c>
      <c r="W35" s="50" t="s">
        <v>45</v>
      </c>
      <c r="X35" s="50" t="s">
        <v>45</v>
      </c>
      <c r="Y35" s="50" t="s">
        <v>45</v>
      </c>
      <c r="Z35" s="50" t="s">
        <v>45</v>
      </c>
      <c r="AA35" s="50"/>
      <c r="AB35" s="50"/>
      <c r="AC35" s="50"/>
    </row>
    <row r="36">
      <c r="A36" s="48" t="s">
        <v>1866</v>
      </c>
      <c r="B36" s="49" t="s">
        <v>1867</v>
      </c>
      <c r="C36" s="48" t="s">
        <v>1868</v>
      </c>
      <c r="D36" s="50" t="str">
        <f>IFERROR(__xludf.DUMMYFUNCTION("""COMPUTED_VALUE"""),"Greffer")</f>
        <v>Greffer</v>
      </c>
      <c r="E36" s="50"/>
      <c r="F36" s="50" t="s">
        <v>1772</v>
      </c>
      <c r="G36" s="50" t="s">
        <v>1772</v>
      </c>
      <c r="H36" s="50" t="s">
        <v>1869</v>
      </c>
      <c r="I36" s="50"/>
      <c r="J36" s="50"/>
      <c r="K36" s="50"/>
      <c r="L36" s="50"/>
      <c r="M36" s="50"/>
      <c r="N36" s="50"/>
      <c r="O36" s="50"/>
      <c r="P36" s="50"/>
      <c r="Q36" s="50"/>
      <c r="R36" s="50"/>
      <c r="S36" s="50"/>
      <c r="T36" s="50"/>
      <c r="U36" s="50"/>
      <c r="V36" s="50" t="s">
        <v>1868</v>
      </c>
      <c r="W36" s="50" t="s">
        <v>1775</v>
      </c>
      <c r="X36" s="50" t="s">
        <v>1769</v>
      </c>
      <c r="Y36" s="50" t="s">
        <v>1792</v>
      </c>
      <c r="Z36" s="50" t="s">
        <v>45</v>
      </c>
      <c r="AA36" s="50"/>
      <c r="AB36" s="50"/>
      <c r="AC36" s="50"/>
    </row>
    <row r="37">
      <c r="A37" s="48" t="s">
        <v>1866</v>
      </c>
      <c r="B37" s="49" t="s">
        <v>1870</v>
      </c>
      <c r="C37" s="48" t="s">
        <v>1871</v>
      </c>
      <c r="D37" s="50" t="str">
        <f>IFERROR(__xludf.DUMMYFUNCTION("""COMPUTED_VALUE"""),"Coupe")</f>
        <v>Coupe</v>
      </c>
      <c r="E37" s="50"/>
      <c r="F37" s="50" t="s">
        <v>1872</v>
      </c>
      <c r="G37" s="50" t="s">
        <v>1872</v>
      </c>
      <c r="H37" s="50" t="s">
        <v>1873</v>
      </c>
      <c r="I37" s="50"/>
      <c r="J37" s="50"/>
      <c r="K37" s="50"/>
      <c r="L37" s="50"/>
      <c r="M37" s="50"/>
      <c r="N37" s="50"/>
      <c r="O37" s="50"/>
      <c r="P37" s="50"/>
      <c r="Q37" s="50"/>
      <c r="R37" s="50"/>
      <c r="S37" s="50"/>
      <c r="T37" s="50"/>
      <c r="U37" s="50"/>
      <c r="V37" s="50" t="s">
        <v>1871</v>
      </c>
      <c r="W37" s="50" t="s">
        <v>1775</v>
      </c>
      <c r="X37" s="50" t="s">
        <v>1874</v>
      </c>
      <c r="Y37" s="50" t="s">
        <v>1792</v>
      </c>
      <c r="Z37" s="50" t="s">
        <v>45</v>
      </c>
      <c r="AA37" s="50"/>
      <c r="AB37" s="50"/>
      <c r="AC37" s="50"/>
    </row>
    <row r="38">
      <c r="A38" s="48" t="s">
        <v>1866</v>
      </c>
      <c r="B38" s="49" t="s">
        <v>1875</v>
      </c>
      <c r="C38" s="48" t="s">
        <v>1876</v>
      </c>
      <c r="D38" s="50" t="str">
        <f>IFERROR(__xludf.DUMMYFUNCTION("""COMPUTED_VALUE"""),"Couche D'Air")</f>
        <v>Couche D'Air</v>
      </c>
      <c r="E38" s="50"/>
      <c r="F38" s="50" t="s">
        <v>1877</v>
      </c>
      <c r="G38" s="50" t="s">
        <v>1877</v>
      </c>
      <c r="H38" s="50" t="s">
        <v>1878</v>
      </c>
      <c r="I38" s="50"/>
      <c r="J38" s="50"/>
      <c r="K38" s="50"/>
      <c r="L38" s="50"/>
      <c r="M38" s="50"/>
      <c r="N38" s="50"/>
      <c r="O38" s="50"/>
      <c r="P38" s="50"/>
      <c r="Q38" s="50"/>
      <c r="R38" s="50"/>
      <c r="S38" s="50"/>
      <c r="T38" s="50"/>
      <c r="U38" s="50"/>
      <c r="V38" s="50" t="s">
        <v>1876</v>
      </c>
      <c r="W38" s="50" t="s">
        <v>1879</v>
      </c>
      <c r="X38" s="50" t="s">
        <v>1880</v>
      </c>
      <c r="Y38" s="50" t="s">
        <v>45</v>
      </c>
      <c r="Z38" s="50" t="s">
        <v>45</v>
      </c>
      <c r="AA38" s="50"/>
      <c r="AB38" s="50"/>
      <c r="AC38" s="50"/>
    </row>
    <row r="39">
      <c r="A39" s="48" t="s">
        <v>1866</v>
      </c>
      <c r="B39" s="49" t="s">
        <v>1881</v>
      </c>
      <c r="C39" s="48" t="s">
        <v>1882</v>
      </c>
      <c r="D39" s="50" t="str">
        <f>IFERROR(__xludf.DUMMYFUNCTION("""COMPUTED_VALUE"""),"Graine")</f>
        <v>Graine</v>
      </c>
      <c r="E39" s="50"/>
      <c r="F39" s="50" t="s">
        <v>1883</v>
      </c>
      <c r="G39" s="50" t="s">
        <v>1883</v>
      </c>
      <c r="H39" s="50" t="s">
        <v>1795</v>
      </c>
      <c r="I39" s="50"/>
      <c r="J39" s="50"/>
      <c r="K39" s="50"/>
      <c r="L39" s="50"/>
      <c r="M39" s="50"/>
      <c r="N39" s="50"/>
      <c r="O39" s="50"/>
      <c r="P39" s="50"/>
      <c r="Q39" s="50"/>
      <c r="R39" s="50"/>
      <c r="S39" s="50"/>
      <c r="T39" s="50"/>
      <c r="U39" s="50"/>
      <c r="V39" s="50" t="s">
        <v>1882</v>
      </c>
      <c r="W39" s="50" t="s">
        <v>1796</v>
      </c>
      <c r="X39" s="50"/>
      <c r="Y39" s="50" t="s">
        <v>45</v>
      </c>
      <c r="Z39" s="50" t="s">
        <v>45</v>
      </c>
      <c r="AA39" s="50"/>
      <c r="AB39" s="50"/>
      <c r="AC39" s="50"/>
    </row>
    <row r="40">
      <c r="A40" s="48"/>
      <c r="B40" s="49"/>
      <c r="C40" s="48"/>
      <c r="D40" s="50" t="str">
        <f>IFERROR(__xludf.DUMMYFUNCTION("""COMPUTED_VALUE"""),"")</f>
        <v/>
      </c>
      <c r="E40" s="50"/>
      <c r="F40" s="50"/>
      <c r="G40" s="50"/>
      <c r="H40" s="50" t="s">
        <v>1710</v>
      </c>
      <c r="I40" s="50"/>
      <c r="J40" s="50"/>
      <c r="K40" s="50"/>
      <c r="L40" s="50"/>
      <c r="M40" s="50"/>
      <c r="N40" s="50"/>
      <c r="O40" s="50"/>
      <c r="P40" s="50"/>
      <c r="Q40" s="50"/>
      <c r="R40" s="50"/>
      <c r="S40" s="50"/>
      <c r="T40" s="50"/>
      <c r="U40" s="50"/>
      <c r="V40" s="50" t="s">
        <v>45</v>
      </c>
      <c r="W40" s="50" t="s">
        <v>45</v>
      </c>
      <c r="X40" s="50" t="s">
        <v>45</v>
      </c>
      <c r="Y40" s="50" t="s">
        <v>45</v>
      </c>
      <c r="Z40" s="50" t="s">
        <v>45</v>
      </c>
      <c r="AA40" s="50"/>
      <c r="AB40" s="50"/>
      <c r="AC40" s="50"/>
    </row>
    <row r="41">
      <c r="A41" s="48" t="s">
        <v>1884</v>
      </c>
      <c r="B41" s="49" t="s">
        <v>829</v>
      </c>
      <c r="C41" s="48" t="s">
        <v>1885</v>
      </c>
      <c r="D41" s="50" t="str">
        <f>IFERROR(__xludf.DUMMYFUNCTION("""COMPUTED_VALUE"""),"Grand Arbre (1 M De Diamètre X 70-100 Cm De Profondeur)")</f>
        <v>Grand Arbre (1 M De Diamètre X 70-100 Cm De Profondeur)</v>
      </c>
      <c r="E41" s="50"/>
      <c r="F41" s="50" t="s">
        <v>1886</v>
      </c>
      <c r="G41" s="50" t="s">
        <v>1886</v>
      </c>
      <c r="H41" s="50" t="s">
        <v>1844</v>
      </c>
      <c r="I41" s="50"/>
      <c r="J41" s="50"/>
      <c r="K41" s="50"/>
      <c r="L41" s="50"/>
      <c r="M41" s="50"/>
      <c r="N41" s="50"/>
      <c r="O41" s="50"/>
      <c r="P41" s="50"/>
      <c r="Q41" s="50"/>
      <c r="R41" s="50"/>
      <c r="S41" s="50"/>
      <c r="T41" s="50"/>
      <c r="U41" s="50"/>
      <c r="V41" s="50" t="s">
        <v>1885</v>
      </c>
      <c r="W41" s="50" t="s">
        <v>1846</v>
      </c>
      <c r="X41" s="50" t="s">
        <v>1847</v>
      </c>
      <c r="Y41" s="50" t="s">
        <v>45</v>
      </c>
      <c r="Z41" s="50" t="s">
        <v>45</v>
      </c>
      <c r="AA41" s="50"/>
      <c r="AB41" s="50"/>
      <c r="AC41" s="50"/>
    </row>
    <row r="42">
      <c r="A42" s="48" t="s">
        <v>1884</v>
      </c>
      <c r="B42" s="49" t="s">
        <v>1887</v>
      </c>
      <c r="C42" s="48" t="s">
        <v>1888</v>
      </c>
      <c r="D42" s="50" t="str">
        <f>IFERROR(__xludf.DUMMYFUNCTION("""COMPUTED_VALUE"""),"Trou Moyen (30 Cm3)")</f>
        <v>Trou Moyen (30 Cm3)</v>
      </c>
      <c r="E42" s="50"/>
      <c r="F42" s="50" t="s">
        <v>1889</v>
      </c>
      <c r="G42" s="50" t="s">
        <v>1889</v>
      </c>
      <c r="H42" s="50" t="s">
        <v>1710</v>
      </c>
      <c r="I42" s="50"/>
      <c r="J42" s="50"/>
      <c r="K42" s="50"/>
      <c r="L42" s="50"/>
      <c r="M42" s="50"/>
      <c r="N42" s="50"/>
      <c r="O42" s="50"/>
      <c r="P42" s="50"/>
      <c r="Q42" s="50"/>
      <c r="R42" s="50"/>
      <c r="S42" s="50"/>
      <c r="T42" s="50"/>
      <c r="U42" s="50"/>
      <c r="V42" s="50" t="s">
        <v>1888</v>
      </c>
      <c r="W42" s="50" t="s">
        <v>45</v>
      </c>
      <c r="X42" s="50" t="s">
        <v>45</v>
      </c>
      <c r="Y42" s="50" t="s">
        <v>45</v>
      </c>
      <c r="Z42" s="50" t="s">
        <v>45</v>
      </c>
      <c r="AA42" s="50"/>
      <c r="AB42" s="50"/>
      <c r="AC42" s="50"/>
    </row>
    <row r="43">
      <c r="A43" s="48" t="s">
        <v>1884</v>
      </c>
      <c r="B43" s="49" t="s">
        <v>1890</v>
      </c>
      <c r="C43" s="48" t="s">
        <v>1891</v>
      </c>
      <c r="D43" s="50" t="str">
        <f>IFERROR(__xludf.DUMMYFUNCTION("""COMPUTED_VALUE"""),"Trou De Tarière (15 Cm De Diamètre X 60 Cm De Profondeur)")</f>
        <v>Trou De Tarière (15 Cm De Diamètre X 60 Cm De Profondeur)</v>
      </c>
      <c r="E43" s="50"/>
      <c r="F43" s="50" t="s">
        <v>1892</v>
      </c>
      <c r="G43" s="50" t="s">
        <v>1892</v>
      </c>
      <c r="H43" s="50" t="s">
        <v>1710</v>
      </c>
      <c r="I43" s="50"/>
      <c r="J43" s="50"/>
      <c r="K43" s="50"/>
      <c r="L43" s="50"/>
      <c r="M43" s="50"/>
      <c r="N43" s="50"/>
      <c r="O43" s="50"/>
      <c r="P43" s="50"/>
      <c r="Q43" s="50"/>
      <c r="R43" s="50"/>
      <c r="S43" s="50"/>
      <c r="T43" s="50"/>
      <c r="U43" s="50"/>
      <c r="V43" s="50" t="s">
        <v>1891</v>
      </c>
      <c r="W43" s="50" t="s">
        <v>45</v>
      </c>
      <c r="X43" s="50" t="s">
        <v>45</v>
      </c>
      <c r="Y43" s="50" t="s">
        <v>45</v>
      </c>
      <c r="Z43" s="50" t="s">
        <v>45</v>
      </c>
      <c r="AA43" s="50"/>
      <c r="AB43" s="50"/>
      <c r="AC43" s="50"/>
    </row>
    <row r="44">
      <c r="A44" s="48" t="s">
        <v>1884</v>
      </c>
      <c r="B44" s="49" t="s">
        <v>1893</v>
      </c>
      <c r="C44" s="48" t="s">
        <v>1894</v>
      </c>
      <c r="D44" s="50" t="str">
        <f>IFERROR(__xludf.DUMMYFUNCTION("""COMPUTED_VALUE"""),"Autre ")</f>
        <v>Autre </v>
      </c>
      <c r="E44" s="50"/>
      <c r="F44" s="50" t="s">
        <v>1895</v>
      </c>
      <c r="G44" s="50" t="s">
        <v>1895</v>
      </c>
      <c r="H44" s="50" t="s">
        <v>1710</v>
      </c>
      <c r="I44" s="50"/>
      <c r="J44" s="50"/>
      <c r="K44" s="50"/>
      <c r="L44" s="50"/>
      <c r="M44" s="50"/>
      <c r="N44" s="50"/>
      <c r="O44" s="50"/>
      <c r="P44" s="50"/>
      <c r="Q44" s="50"/>
      <c r="R44" s="50"/>
      <c r="S44" s="50"/>
      <c r="T44" s="50"/>
      <c r="U44" s="50"/>
      <c r="V44" s="50" t="s">
        <v>19</v>
      </c>
      <c r="W44" s="50" t="s">
        <v>45</v>
      </c>
      <c r="X44" s="50" t="s">
        <v>45</v>
      </c>
      <c r="Y44" s="50" t="s">
        <v>45</v>
      </c>
      <c r="Z44" s="50" t="s">
        <v>45</v>
      </c>
      <c r="AA44" s="50"/>
      <c r="AB44" s="50"/>
      <c r="AC44" s="50"/>
    </row>
    <row r="45">
      <c r="A45" s="48"/>
      <c r="B45" s="49"/>
      <c r="C45" s="48"/>
      <c r="D45" s="50" t="str">
        <f>IFERROR(__xludf.DUMMYFUNCTION("""COMPUTED_VALUE"""),"")</f>
        <v/>
      </c>
      <c r="E45" s="50"/>
      <c r="F45" s="50"/>
      <c r="G45" s="50"/>
      <c r="H45" s="50" t="s">
        <v>1710</v>
      </c>
      <c r="I45" s="50"/>
      <c r="J45" s="50"/>
      <c r="K45" s="50"/>
      <c r="L45" s="50"/>
      <c r="M45" s="50"/>
      <c r="N45" s="50"/>
      <c r="O45" s="50"/>
      <c r="P45" s="50"/>
      <c r="Q45" s="50"/>
      <c r="R45" s="50"/>
      <c r="S45" s="50"/>
      <c r="T45" s="50"/>
      <c r="U45" s="50"/>
      <c r="V45" s="50" t="s">
        <v>45</v>
      </c>
      <c r="W45" s="50" t="s">
        <v>45</v>
      </c>
      <c r="X45" s="50" t="s">
        <v>45</v>
      </c>
      <c r="Y45" s="50" t="s">
        <v>45</v>
      </c>
      <c r="Z45" s="50" t="s">
        <v>45</v>
      </c>
      <c r="AA45" s="50"/>
      <c r="AB45" s="50"/>
      <c r="AC45" s="50"/>
    </row>
    <row r="46">
      <c r="A46" s="48" t="s">
        <v>1896</v>
      </c>
      <c r="B46" s="49" t="s">
        <v>1897</v>
      </c>
      <c r="C46" s="48" t="s">
        <v>1898</v>
      </c>
      <c r="D46" s="50" t="str">
        <f>IFERROR(__xludf.DUMMYFUNCTION("""COMPUTED_VALUE"""),"Cercle")</f>
        <v>Cercle</v>
      </c>
      <c r="E46" s="50"/>
      <c r="F46" s="50" t="s">
        <v>1898</v>
      </c>
      <c r="G46" s="50" t="s">
        <v>1898</v>
      </c>
      <c r="H46" s="50" t="s">
        <v>1899</v>
      </c>
      <c r="I46" s="50"/>
      <c r="J46" s="50"/>
      <c r="K46" s="50"/>
      <c r="L46" s="50"/>
      <c r="M46" s="50"/>
      <c r="N46" s="50"/>
      <c r="O46" s="50"/>
      <c r="P46" s="50"/>
      <c r="Q46" s="50"/>
      <c r="R46" s="50"/>
      <c r="S46" s="50"/>
      <c r="T46" s="50"/>
      <c r="U46" s="50"/>
      <c r="V46" s="50" t="s">
        <v>1898</v>
      </c>
      <c r="W46" s="50" t="s">
        <v>1900</v>
      </c>
      <c r="X46" s="50" t="s">
        <v>45</v>
      </c>
      <c r="Y46" s="50" t="s">
        <v>45</v>
      </c>
      <c r="Z46" s="50" t="s">
        <v>45</v>
      </c>
      <c r="AA46" s="50"/>
      <c r="AB46" s="50"/>
      <c r="AC46" s="50"/>
    </row>
    <row r="47">
      <c r="A47" s="48" t="s">
        <v>1896</v>
      </c>
      <c r="B47" s="49" t="s">
        <v>1901</v>
      </c>
      <c r="C47" s="48" t="s">
        <v>1902</v>
      </c>
      <c r="D47" s="50" t="str">
        <f>IFERROR(__xludf.DUMMYFUNCTION("""COMPUTED_VALUE"""),"Cube")</f>
        <v>Cube</v>
      </c>
      <c r="E47" s="50"/>
      <c r="F47" s="50" t="s">
        <v>1902</v>
      </c>
      <c r="G47" s="50" t="s">
        <v>1902</v>
      </c>
      <c r="H47" s="50" t="s">
        <v>1903</v>
      </c>
      <c r="I47" s="50"/>
      <c r="J47" s="50"/>
      <c r="K47" s="50"/>
      <c r="L47" s="50"/>
      <c r="M47" s="50"/>
      <c r="N47" s="50"/>
      <c r="O47" s="50"/>
      <c r="P47" s="50"/>
      <c r="Q47" s="50"/>
      <c r="R47" s="50"/>
      <c r="S47" s="50"/>
      <c r="T47" s="50"/>
      <c r="U47" s="50"/>
      <c r="V47" s="50" t="s">
        <v>1902</v>
      </c>
      <c r="W47" s="50" t="s">
        <v>1904</v>
      </c>
      <c r="X47" s="50" t="s">
        <v>45</v>
      </c>
      <c r="Y47" s="50" t="s">
        <v>45</v>
      </c>
      <c r="Z47" s="50" t="s">
        <v>45</v>
      </c>
      <c r="AA47" s="50"/>
      <c r="AB47" s="50"/>
      <c r="AC47" s="50"/>
    </row>
    <row r="48">
      <c r="A48" s="48"/>
      <c r="B48" s="49"/>
      <c r="C48" s="48"/>
      <c r="D48" s="50" t="str">
        <f>IFERROR(__xludf.DUMMYFUNCTION("""COMPUTED_VALUE"""),"")</f>
        <v/>
      </c>
      <c r="E48" s="50"/>
      <c r="F48" s="50"/>
      <c r="G48" s="50"/>
      <c r="H48" s="50" t="s">
        <v>1710</v>
      </c>
      <c r="I48" s="50"/>
      <c r="J48" s="50"/>
      <c r="K48" s="50"/>
      <c r="L48" s="50"/>
      <c r="M48" s="50"/>
      <c r="N48" s="50"/>
      <c r="O48" s="50"/>
      <c r="P48" s="50"/>
      <c r="Q48" s="50"/>
      <c r="R48" s="50"/>
      <c r="S48" s="50"/>
      <c r="T48" s="50"/>
      <c r="U48" s="50"/>
      <c r="V48" s="50" t="s">
        <v>45</v>
      </c>
      <c r="W48" s="50" t="s">
        <v>45</v>
      </c>
      <c r="X48" s="50" t="s">
        <v>45</v>
      </c>
      <c r="Y48" s="50" t="s">
        <v>45</v>
      </c>
      <c r="Z48" s="50" t="s">
        <v>45</v>
      </c>
      <c r="AA48" s="50"/>
      <c r="AB48" s="50"/>
      <c r="AC48" s="50"/>
    </row>
    <row r="49">
      <c r="A49" s="48" t="s">
        <v>1905</v>
      </c>
      <c r="B49" s="49" t="s">
        <v>1881</v>
      </c>
      <c r="C49" s="48" t="s">
        <v>1882</v>
      </c>
      <c r="D49" s="50" t="str">
        <f>IFERROR(__xludf.DUMMYFUNCTION("""COMPUTED_VALUE"""),"Graine")</f>
        <v>Graine</v>
      </c>
      <c r="E49" s="50"/>
      <c r="F49" s="50" t="s">
        <v>1906</v>
      </c>
      <c r="G49" s="50" t="s">
        <v>1906</v>
      </c>
      <c r="H49" s="50" t="s">
        <v>1795</v>
      </c>
      <c r="I49" s="50"/>
      <c r="J49" s="50"/>
      <c r="K49" s="50"/>
      <c r="L49" s="50"/>
      <c r="M49" s="50"/>
      <c r="N49" s="50"/>
      <c r="O49" s="50"/>
      <c r="P49" s="50"/>
      <c r="Q49" s="50"/>
      <c r="R49" s="50"/>
      <c r="S49" s="50"/>
      <c r="T49" s="50"/>
      <c r="U49" s="50"/>
      <c r="V49" s="50" t="s">
        <v>1882</v>
      </c>
      <c r="W49" s="50" t="s">
        <v>1796</v>
      </c>
      <c r="X49" s="50"/>
      <c r="Y49" s="50"/>
      <c r="Z49" s="50"/>
      <c r="AA49" s="50"/>
      <c r="AB49" s="50"/>
      <c r="AC49" s="50"/>
    </row>
    <row r="50">
      <c r="A50" s="48" t="s">
        <v>1905</v>
      </c>
      <c r="B50" s="49" t="s">
        <v>1870</v>
      </c>
      <c r="C50" s="48" t="s">
        <v>1871</v>
      </c>
      <c r="D50" s="50" t="str">
        <f>IFERROR(__xludf.DUMMYFUNCTION("""COMPUTED_VALUE"""),"Coupe")</f>
        <v>Coupe</v>
      </c>
      <c r="E50" s="50"/>
      <c r="F50" s="50" t="s">
        <v>1907</v>
      </c>
      <c r="G50" s="50" t="s">
        <v>1907</v>
      </c>
      <c r="H50" s="50" t="s">
        <v>1873</v>
      </c>
      <c r="I50" s="50"/>
      <c r="J50" s="50"/>
      <c r="K50" s="50"/>
      <c r="L50" s="50"/>
      <c r="M50" s="50"/>
      <c r="N50" s="50"/>
      <c r="O50" s="50"/>
      <c r="P50" s="50"/>
      <c r="Q50" s="50"/>
      <c r="R50" s="50"/>
      <c r="S50" s="50"/>
      <c r="T50" s="50"/>
      <c r="U50" s="50"/>
      <c r="V50" s="50" t="s">
        <v>1871</v>
      </c>
      <c r="W50" s="50" t="s">
        <v>1775</v>
      </c>
      <c r="X50" s="50" t="s">
        <v>1874</v>
      </c>
      <c r="Y50" s="50" t="s">
        <v>1792</v>
      </c>
      <c r="Z50" s="50"/>
      <c r="AA50" s="50"/>
      <c r="AB50" s="50"/>
      <c r="AC50" s="50"/>
    </row>
    <row r="51">
      <c r="A51" s="48" t="s">
        <v>1905</v>
      </c>
      <c r="B51" s="49" t="s">
        <v>1908</v>
      </c>
      <c r="C51" s="48" t="s">
        <v>1909</v>
      </c>
      <c r="D51" s="50" t="str">
        <f>IFERROR(__xludf.DUMMYFUNCTION("""COMPUTED_VALUE"""),"Jeune Arbre À Partir De Graines")</f>
        <v>Jeune Arbre À Partir De Graines</v>
      </c>
      <c r="E51" s="50"/>
      <c r="F51" s="50" t="s">
        <v>1910</v>
      </c>
      <c r="G51" s="50" t="s">
        <v>1910</v>
      </c>
      <c r="H51" s="50" t="s">
        <v>1911</v>
      </c>
      <c r="I51" s="50"/>
      <c r="J51" s="50"/>
      <c r="K51" s="50"/>
      <c r="L51" s="50"/>
      <c r="M51" s="50"/>
      <c r="N51" s="50"/>
      <c r="O51" s="50"/>
      <c r="P51" s="50"/>
      <c r="Q51" s="50"/>
      <c r="R51" s="50"/>
      <c r="S51" s="50"/>
      <c r="T51" s="50"/>
      <c r="U51" s="50"/>
      <c r="V51" s="50" t="s">
        <v>1909</v>
      </c>
      <c r="W51" s="50" t="s">
        <v>1796</v>
      </c>
      <c r="X51" s="50" t="s">
        <v>1846</v>
      </c>
      <c r="Y51" s="50" t="s">
        <v>45</v>
      </c>
      <c r="Z51" s="50"/>
      <c r="AA51" s="50"/>
      <c r="AB51" s="50"/>
      <c r="AC51" s="50"/>
    </row>
    <row r="52">
      <c r="A52" s="48" t="s">
        <v>1905</v>
      </c>
      <c r="B52" s="49" t="s">
        <v>1187</v>
      </c>
      <c r="C52" s="48" t="s">
        <v>1912</v>
      </c>
      <c r="D52" s="50" t="str">
        <f>IFERROR(__xludf.DUMMYFUNCTION("""COMPUTED_VALUE"""),"Arbre Greffé")</f>
        <v>Arbre Greffé</v>
      </c>
      <c r="E52" s="50"/>
      <c r="F52" s="50" t="s">
        <v>1913</v>
      </c>
      <c r="G52" s="50" t="s">
        <v>1913</v>
      </c>
      <c r="H52" s="50" t="s">
        <v>1914</v>
      </c>
      <c r="I52" s="50"/>
      <c r="J52" s="50"/>
      <c r="K52" s="50"/>
      <c r="L52" s="50"/>
      <c r="M52" s="50"/>
      <c r="N52" s="50"/>
      <c r="O52" s="50"/>
      <c r="P52" s="50"/>
      <c r="Q52" s="50"/>
      <c r="R52" s="50"/>
      <c r="S52" s="50"/>
      <c r="T52" s="50"/>
      <c r="U52" s="50"/>
      <c r="V52" s="50" t="s">
        <v>1912</v>
      </c>
      <c r="W52" s="50" t="s">
        <v>1775</v>
      </c>
      <c r="X52" s="50" t="s">
        <v>1769</v>
      </c>
      <c r="Y52" s="50" t="s">
        <v>1792</v>
      </c>
      <c r="Z52" s="50" t="s">
        <v>1846</v>
      </c>
      <c r="AA52" s="50" t="s">
        <v>45</v>
      </c>
      <c r="AB52" s="50"/>
      <c r="AC52" s="50"/>
    </row>
    <row r="53">
      <c r="A53" s="48" t="s">
        <v>1905</v>
      </c>
      <c r="B53" s="49" t="s">
        <v>1875</v>
      </c>
      <c r="C53" s="48" t="s">
        <v>1876</v>
      </c>
      <c r="D53" s="50" t="str">
        <f>IFERROR(__xludf.DUMMYFUNCTION("""COMPUTED_VALUE"""),"Couche D'Air")</f>
        <v>Couche D'Air</v>
      </c>
      <c r="E53" s="50"/>
      <c r="F53" s="50" t="s">
        <v>1877</v>
      </c>
      <c r="G53" s="50" t="s">
        <v>1877</v>
      </c>
      <c r="H53" s="50" t="s">
        <v>1878</v>
      </c>
      <c r="I53" s="50"/>
      <c r="J53" s="50"/>
      <c r="K53" s="50"/>
      <c r="L53" s="50"/>
      <c r="M53" s="50"/>
      <c r="N53" s="50"/>
      <c r="O53" s="50"/>
      <c r="P53" s="50"/>
      <c r="Q53" s="50"/>
      <c r="R53" s="50"/>
      <c r="S53" s="50"/>
      <c r="T53" s="50"/>
      <c r="U53" s="50"/>
      <c r="V53" s="50" t="s">
        <v>1876</v>
      </c>
      <c r="W53" s="50" t="s">
        <v>1879</v>
      </c>
      <c r="X53" s="50" t="s">
        <v>1880</v>
      </c>
      <c r="Y53" s="50" t="s">
        <v>45</v>
      </c>
      <c r="Z53" s="50" t="s">
        <v>45</v>
      </c>
      <c r="AA53" s="50"/>
      <c r="AB53" s="50"/>
      <c r="AC53" s="50"/>
    </row>
    <row r="54">
      <c r="A54" s="48" t="s">
        <v>1905</v>
      </c>
      <c r="B54" s="49" t="s">
        <v>1915</v>
      </c>
      <c r="C54" s="48" t="s">
        <v>1916</v>
      </c>
      <c r="D54" s="50" t="str">
        <f>IFERROR(__xludf.DUMMYFUNCTION("""COMPUTED_VALUE"""),"Inconnu")</f>
        <v>Inconnu</v>
      </c>
      <c r="E54" s="50"/>
      <c r="F54" s="50" t="s">
        <v>1917</v>
      </c>
      <c r="G54" s="50" t="s">
        <v>1917</v>
      </c>
      <c r="H54" s="50" t="s">
        <v>1918</v>
      </c>
      <c r="I54" s="50"/>
      <c r="J54" s="50"/>
      <c r="K54" s="50"/>
      <c r="L54" s="50"/>
      <c r="M54" s="50"/>
      <c r="N54" s="50"/>
      <c r="O54" s="50"/>
      <c r="P54" s="50"/>
      <c r="Q54" s="50"/>
      <c r="R54" s="50"/>
      <c r="S54" s="50"/>
      <c r="T54" s="50"/>
      <c r="U54" s="50"/>
      <c r="V54" s="50" t="s">
        <v>1916</v>
      </c>
      <c r="W54" s="50" t="s">
        <v>1919</v>
      </c>
      <c r="X54" s="50"/>
      <c r="Y54" s="50"/>
      <c r="Z54" s="50"/>
      <c r="AA54" s="50" t="s">
        <v>45</v>
      </c>
      <c r="AB54" s="50"/>
      <c r="AC54" s="50"/>
    </row>
    <row r="55">
      <c r="A55" s="48"/>
      <c r="B55" s="49"/>
      <c r="C55" s="48"/>
      <c r="D55" s="50" t="str">
        <f>IFERROR(__xludf.DUMMYFUNCTION("""COMPUTED_VALUE"""),"")</f>
        <v/>
      </c>
      <c r="E55" s="50"/>
      <c r="F55" s="50"/>
      <c r="G55" s="50"/>
      <c r="H55" s="50" t="s">
        <v>1710</v>
      </c>
      <c r="I55" s="50"/>
      <c r="J55" s="50"/>
      <c r="K55" s="50"/>
      <c r="L55" s="50"/>
      <c r="M55" s="50"/>
      <c r="N55" s="50"/>
      <c r="O55" s="50"/>
      <c r="P55" s="50"/>
      <c r="Q55" s="50"/>
      <c r="R55" s="50"/>
      <c r="S55" s="50"/>
      <c r="T55" s="50"/>
      <c r="U55" s="50"/>
      <c r="V55" s="50" t="s">
        <v>45</v>
      </c>
      <c r="W55" s="50" t="s">
        <v>45</v>
      </c>
      <c r="X55" s="50" t="s">
        <v>45</v>
      </c>
      <c r="Y55" s="50" t="s">
        <v>45</v>
      </c>
      <c r="Z55" s="50" t="s">
        <v>45</v>
      </c>
      <c r="AA55" s="50"/>
      <c r="AB55" s="50"/>
      <c r="AC55" s="50"/>
    </row>
    <row r="56">
      <c r="A56" s="48" t="s">
        <v>1920</v>
      </c>
      <c r="B56" s="49" t="s">
        <v>1921</v>
      </c>
      <c r="C56" s="48" t="s">
        <v>43</v>
      </c>
      <c r="D56" s="50" t="str">
        <f>IFERROR(__xludf.DUMMYFUNCTION("""COMPUTED_VALUE"""),"Petit Sac")</f>
        <v>Petit Sac</v>
      </c>
      <c r="E56" s="50"/>
      <c r="F56" s="50" t="s">
        <v>1922</v>
      </c>
      <c r="G56" s="50" t="s">
        <v>1922</v>
      </c>
      <c r="H56" s="50" t="s">
        <v>1710</v>
      </c>
      <c r="I56" s="50"/>
      <c r="J56" s="50"/>
      <c r="K56" s="50"/>
      <c r="L56" s="50"/>
      <c r="M56" s="50"/>
      <c r="N56" s="50"/>
      <c r="O56" s="50"/>
      <c r="P56" s="50"/>
      <c r="Q56" s="50"/>
      <c r="R56" s="50"/>
      <c r="S56" s="50" t="s">
        <v>1923</v>
      </c>
      <c r="T56" s="50"/>
      <c r="U56" s="50"/>
      <c r="V56" s="50" t="s">
        <v>43</v>
      </c>
      <c r="W56" s="50" t="s">
        <v>45</v>
      </c>
      <c r="X56" s="50" t="s">
        <v>45</v>
      </c>
      <c r="Y56" s="50" t="s">
        <v>45</v>
      </c>
      <c r="Z56" s="50" t="s">
        <v>45</v>
      </c>
      <c r="AA56" s="50"/>
      <c r="AB56" s="50"/>
      <c r="AC56" s="50"/>
    </row>
    <row r="57">
      <c r="A57" s="48" t="s">
        <v>1920</v>
      </c>
      <c r="B57" s="49" t="s">
        <v>1924</v>
      </c>
      <c r="C57" s="48" t="s">
        <v>44</v>
      </c>
      <c r="D57" s="50" t="str">
        <f>IFERROR(__xludf.DUMMYFUNCTION("""COMPUTED_VALUE"""),"Sac Long")</f>
        <v>Sac Long</v>
      </c>
      <c r="E57" s="50"/>
      <c r="F57" s="50" t="s">
        <v>1925</v>
      </c>
      <c r="G57" s="50" t="s">
        <v>1925</v>
      </c>
      <c r="H57" s="50" t="s">
        <v>1710</v>
      </c>
      <c r="I57" s="50"/>
      <c r="J57" s="50"/>
      <c r="K57" s="50"/>
      <c r="L57" s="50"/>
      <c r="M57" s="50"/>
      <c r="N57" s="50"/>
      <c r="O57" s="50"/>
      <c r="P57" s="50"/>
      <c r="Q57" s="50"/>
      <c r="R57" s="50"/>
      <c r="S57" s="50" t="s">
        <v>1926</v>
      </c>
      <c r="T57" s="50"/>
      <c r="U57" s="50"/>
      <c r="V57" s="50" t="s">
        <v>44</v>
      </c>
      <c r="W57" s="50" t="s">
        <v>45</v>
      </c>
      <c r="X57" s="50" t="s">
        <v>45</v>
      </c>
      <c r="Y57" s="50" t="s">
        <v>45</v>
      </c>
      <c r="Z57" s="50" t="s">
        <v>45</v>
      </c>
      <c r="AA57" s="50"/>
      <c r="AB57" s="50"/>
      <c r="AC57" s="50"/>
    </row>
    <row r="58">
      <c r="A58" s="48" t="s">
        <v>1920</v>
      </c>
      <c r="B58" s="49" t="s">
        <v>1927</v>
      </c>
      <c r="C58" s="48" t="s">
        <v>14</v>
      </c>
      <c r="D58" s="50" t="str">
        <f>IFERROR(__xludf.DUMMYFUNCTION("""COMPUTED_VALUE"""),"Petit Bol")</f>
        <v>Petit Bol</v>
      </c>
      <c r="E58" s="50"/>
      <c r="F58" s="50" t="s">
        <v>1928</v>
      </c>
      <c r="G58" s="50" t="s">
        <v>1928</v>
      </c>
      <c r="H58" s="50" t="s">
        <v>1710</v>
      </c>
      <c r="I58" s="50"/>
      <c r="J58" s="50"/>
      <c r="K58" s="50"/>
      <c r="L58" s="50"/>
      <c r="M58" s="50"/>
      <c r="N58" s="50"/>
      <c r="O58" s="50"/>
      <c r="P58" s="50"/>
      <c r="Q58" s="50"/>
      <c r="R58" s="50"/>
      <c r="S58" s="50" t="s">
        <v>1929</v>
      </c>
      <c r="T58" s="50"/>
      <c r="U58" s="50"/>
      <c r="V58" s="50" t="s">
        <v>14</v>
      </c>
      <c r="W58" s="50" t="s">
        <v>45</v>
      </c>
      <c r="X58" s="50" t="s">
        <v>45</v>
      </c>
      <c r="Y58" s="50" t="s">
        <v>45</v>
      </c>
      <c r="Z58" s="50" t="s">
        <v>45</v>
      </c>
      <c r="AA58" s="50"/>
      <c r="AB58" s="50"/>
      <c r="AC58" s="50"/>
    </row>
    <row r="59">
      <c r="A59" s="48" t="s">
        <v>1920</v>
      </c>
      <c r="B59" s="49" t="s">
        <v>1930</v>
      </c>
      <c r="C59" s="48" t="s">
        <v>1931</v>
      </c>
      <c r="D59" s="50" t="str">
        <f>IFERROR(__xludf.DUMMYFUNCTION("""COMPUTED_VALUE"""),"Grand Bol")</f>
        <v>Grand Bol</v>
      </c>
      <c r="E59" s="50"/>
      <c r="F59" s="50" t="s">
        <v>1932</v>
      </c>
      <c r="G59" s="50" t="s">
        <v>1932</v>
      </c>
      <c r="H59" s="50" t="s">
        <v>1710</v>
      </c>
      <c r="I59" s="50"/>
      <c r="J59" s="50"/>
      <c r="K59" s="50"/>
      <c r="L59" s="50"/>
      <c r="M59" s="50"/>
      <c r="N59" s="50"/>
      <c r="O59" s="50"/>
      <c r="P59" s="50"/>
      <c r="Q59" s="50"/>
      <c r="R59" s="50"/>
      <c r="S59" s="50" t="s">
        <v>1933</v>
      </c>
      <c r="T59" s="50"/>
      <c r="U59" s="50"/>
      <c r="V59" s="50" t="s">
        <v>1931</v>
      </c>
      <c r="W59" s="50" t="s">
        <v>45</v>
      </c>
      <c r="X59" s="50" t="s">
        <v>45</v>
      </c>
      <c r="Y59" s="50" t="s">
        <v>45</v>
      </c>
      <c r="Z59" s="50" t="s">
        <v>45</v>
      </c>
      <c r="AA59" s="50"/>
      <c r="AB59" s="50"/>
      <c r="AC59" s="50"/>
    </row>
    <row r="60">
      <c r="A60" s="48" t="s">
        <v>1920</v>
      </c>
      <c r="B60" s="49" t="s">
        <v>1934</v>
      </c>
      <c r="C60" s="48" t="s">
        <v>1935</v>
      </c>
      <c r="D60" s="50" t="str">
        <f>IFERROR(__xludf.DUMMYFUNCTION("""COMPUTED_VALUE"""),"50 Cellules Neversink")</f>
        <v>50 Cellules Neversink</v>
      </c>
      <c r="E60" s="50"/>
      <c r="F60" s="50" t="s">
        <v>1936</v>
      </c>
      <c r="G60" s="50" t="s">
        <v>1936</v>
      </c>
      <c r="H60" s="50" t="s">
        <v>1710</v>
      </c>
      <c r="I60" s="50"/>
      <c r="J60" s="50"/>
      <c r="K60" s="50"/>
      <c r="L60" s="50"/>
      <c r="M60" s="50"/>
      <c r="N60" s="50"/>
      <c r="O60" s="50"/>
      <c r="P60" s="50"/>
      <c r="Q60" s="50"/>
      <c r="R60" s="50"/>
      <c r="S60" s="50"/>
      <c r="T60" s="50"/>
      <c r="U60" s="50"/>
      <c r="V60" s="50" t="s">
        <v>1935</v>
      </c>
      <c r="W60" s="50" t="s">
        <v>45</v>
      </c>
      <c r="X60" s="50" t="s">
        <v>45</v>
      </c>
      <c r="Y60" s="50" t="s">
        <v>45</v>
      </c>
      <c r="Z60" s="50" t="s">
        <v>45</v>
      </c>
      <c r="AA60" s="50"/>
      <c r="AB60" s="50"/>
      <c r="AC60" s="50"/>
    </row>
    <row r="61">
      <c r="A61" s="48" t="s">
        <v>1920</v>
      </c>
      <c r="B61" s="49" t="s">
        <v>1937</v>
      </c>
      <c r="C61" s="48" t="s">
        <v>1938</v>
      </c>
      <c r="D61" s="50" t="str">
        <f>IFERROR(__xludf.DUMMYFUNCTION("""COMPUTED_VALUE"""),"72 Cellules Neversink")</f>
        <v>72 Cellules Neversink</v>
      </c>
      <c r="E61" s="50"/>
      <c r="F61" s="50" t="s">
        <v>1939</v>
      </c>
      <c r="G61" s="50" t="s">
        <v>1939</v>
      </c>
      <c r="H61" s="50" t="s">
        <v>1710</v>
      </c>
      <c r="I61" s="50"/>
      <c r="J61" s="50"/>
      <c r="K61" s="50"/>
      <c r="L61" s="50"/>
      <c r="M61" s="50"/>
      <c r="N61" s="50"/>
      <c r="O61" s="50"/>
      <c r="P61" s="50"/>
      <c r="Q61" s="50"/>
      <c r="R61" s="50"/>
      <c r="S61" s="50"/>
      <c r="T61" s="50"/>
      <c r="U61" s="50"/>
      <c r="V61" s="50" t="s">
        <v>1938</v>
      </c>
      <c r="W61" s="50" t="s">
        <v>45</v>
      </c>
      <c r="X61" s="50" t="s">
        <v>45</v>
      </c>
      <c r="Y61" s="50" t="s">
        <v>45</v>
      </c>
      <c r="Z61" s="50" t="s">
        <v>45</v>
      </c>
      <c r="AA61" s="50"/>
      <c r="AB61" s="50"/>
      <c r="AC61" s="50"/>
    </row>
    <row r="62">
      <c r="A62" s="48" t="s">
        <v>1920</v>
      </c>
      <c r="B62" s="49" t="s">
        <v>1940</v>
      </c>
      <c r="C62" s="48" t="s">
        <v>1941</v>
      </c>
      <c r="D62" s="50" t="str">
        <f>IFERROR(__xludf.DUMMYFUNCTION("""COMPUTED_VALUE"""),"128 Cellules Neversink")</f>
        <v>128 Cellules Neversink</v>
      </c>
      <c r="E62" s="50"/>
      <c r="F62" s="50" t="s">
        <v>1942</v>
      </c>
      <c r="G62" s="50" t="s">
        <v>1942</v>
      </c>
      <c r="H62" s="50" t="s">
        <v>1710</v>
      </c>
      <c r="I62" s="50"/>
      <c r="J62" s="50"/>
      <c r="K62" s="50"/>
      <c r="L62" s="50"/>
      <c r="M62" s="50"/>
      <c r="N62" s="50"/>
      <c r="O62" s="50"/>
      <c r="P62" s="50"/>
      <c r="Q62" s="50"/>
      <c r="R62" s="50"/>
      <c r="S62" s="50"/>
      <c r="T62" s="50"/>
      <c r="U62" s="50"/>
      <c r="V62" s="50" t="s">
        <v>1941</v>
      </c>
      <c r="W62" s="50" t="s">
        <v>45</v>
      </c>
      <c r="X62" s="50" t="s">
        <v>45</v>
      </c>
      <c r="Y62" s="50" t="s">
        <v>45</v>
      </c>
      <c r="Z62" s="50" t="s">
        <v>45</v>
      </c>
      <c r="AA62" s="50"/>
      <c r="AB62" s="50"/>
      <c r="AC62" s="50"/>
    </row>
    <row r="63">
      <c r="A63" s="48" t="s">
        <v>1920</v>
      </c>
      <c r="B63" s="49" t="s">
        <v>1943</v>
      </c>
      <c r="C63" s="48" t="s">
        <v>1944</v>
      </c>
      <c r="D63" s="50" t="str">
        <f>IFERROR(__xludf.DUMMYFUNCTION("""COMPUTED_VALUE"""),"Dôme D'Humidité À 6 Cellules")</f>
        <v>Dôme D'Humidité À 6 Cellules</v>
      </c>
      <c r="E63" s="50"/>
      <c r="F63" s="50" t="s">
        <v>1945</v>
      </c>
      <c r="G63" s="50" t="s">
        <v>1945</v>
      </c>
      <c r="H63" s="50" t="s">
        <v>1710</v>
      </c>
      <c r="I63" s="50"/>
      <c r="J63" s="50"/>
      <c r="K63" s="50"/>
      <c r="L63" s="50"/>
      <c r="M63" s="50"/>
      <c r="N63" s="50"/>
      <c r="O63" s="50"/>
      <c r="P63" s="50"/>
      <c r="Q63" s="50"/>
      <c r="R63" s="50"/>
      <c r="S63" s="50"/>
      <c r="T63" s="50"/>
      <c r="U63" s="50"/>
      <c r="V63" s="50" t="s">
        <v>1944</v>
      </c>
      <c r="W63" s="50" t="s">
        <v>45</v>
      </c>
      <c r="X63" s="50" t="s">
        <v>45</v>
      </c>
      <c r="Y63" s="50" t="s">
        <v>45</v>
      </c>
      <c r="Z63" s="50" t="s">
        <v>45</v>
      </c>
      <c r="AA63" s="50"/>
      <c r="AB63" s="50"/>
      <c r="AC63" s="50"/>
    </row>
    <row r="64">
      <c r="A64" s="48" t="s">
        <v>1920</v>
      </c>
      <c r="B64" s="49" t="s">
        <v>1946</v>
      </c>
      <c r="C64" s="48" t="s">
        <v>1947</v>
      </c>
      <c r="D64" s="50" t="str">
        <f>IFERROR(__xludf.DUMMYFUNCTION("""COMPUTED_VALUE"""),"Dôme D'Humidité À 12 Cellules")</f>
        <v>Dôme D'Humidité À 12 Cellules</v>
      </c>
      <c r="E64" s="50"/>
      <c r="F64" s="50" t="s">
        <v>1948</v>
      </c>
      <c r="G64" s="50" t="s">
        <v>1948</v>
      </c>
      <c r="H64" s="50" t="s">
        <v>1710</v>
      </c>
      <c r="I64" s="50"/>
      <c r="J64" s="50"/>
      <c r="K64" s="50"/>
      <c r="L64" s="50"/>
      <c r="M64" s="50"/>
      <c r="N64" s="50"/>
      <c r="O64" s="50"/>
      <c r="P64" s="50"/>
      <c r="Q64" s="50"/>
      <c r="R64" s="50"/>
      <c r="S64" s="50"/>
      <c r="T64" s="50"/>
      <c r="U64" s="50"/>
      <c r="V64" s="50" t="s">
        <v>1947</v>
      </c>
      <c r="W64" s="50" t="s">
        <v>45</v>
      </c>
      <c r="X64" s="50" t="s">
        <v>45</v>
      </c>
      <c r="Y64" s="50" t="s">
        <v>45</v>
      </c>
      <c r="Z64" s="50" t="s">
        <v>45</v>
      </c>
      <c r="AA64" s="50"/>
      <c r="AB64" s="50"/>
      <c r="AC64" s="50"/>
    </row>
    <row r="65">
      <c r="A65" s="48" t="s">
        <v>1920</v>
      </c>
      <c r="B65" s="49" t="s">
        <v>1949</v>
      </c>
      <c r="C65" s="48" t="s">
        <v>1950</v>
      </c>
      <c r="D65" s="50" t="str">
        <f>IFERROR(__xludf.DUMMYFUNCTION("""COMPUTED_VALUE"""),"Dôme D'Humidité Haut De 72 Cellules")</f>
        <v>Dôme D'Humidité Haut De 72 Cellules</v>
      </c>
      <c r="E65" s="50"/>
      <c r="F65" s="50" t="s">
        <v>1951</v>
      </c>
      <c r="G65" s="50" t="s">
        <v>1951</v>
      </c>
      <c r="H65" s="50" t="s">
        <v>1710</v>
      </c>
      <c r="I65" s="50"/>
      <c r="J65" s="50"/>
      <c r="K65" s="50"/>
      <c r="L65" s="50"/>
      <c r="M65" s="50"/>
      <c r="N65" s="50"/>
      <c r="O65" s="50"/>
      <c r="P65" s="50"/>
      <c r="Q65" s="50"/>
      <c r="R65" s="50"/>
      <c r="S65" s="50"/>
      <c r="T65" s="50"/>
      <c r="U65" s="50"/>
      <c r="V65" s="50" t="s">
        <v>1950</v>
      </c>
      <c r="W65" s="50" t="s">
        <v>45</v>
      </c>
      <c r="X65" s="50" t="s">
        <v>45</v>
      </c>
      <c r="Y65" s="50" t="s">
        <v>45</v>
      </c>
      <c r="Z65" s="50" t="s">
        <v>45</v>
      </c>
      <c r="AA65" s="50"/>
      <c r="AB65" s="50"/>
      <c r="AC65" s="50"/>
    </row>
    <row r="66">
      <c r="A66" s="48" t="s">
        <v>1920</v>
      </c>
      <c r="B66" s="49" t="s">
        <v>1952</v>
      </c>
      <c r="C66" s="48" t="s">
        <v>19</v>
      </c>
      <c r="D66" s="50" t="str">
        <f>IFERROR(__xludf.DUMMYFUNCTION("""COMPUTED_VALUE"""),"Autre")</f>
        <v>Autre</v>
      </c>
      <c r="E66" s="50"/>
      <c r="F66" s="50" t="s">
        <v>1895</v>
      </c>
      <c r="G66" s="50" t="s">
        <v>1895</v>
      </c>
      <c r="H66" s="50" t="s">
        <v>1710</v>
      </c>
      <c r="I66" s="50"/>
      <c r="J66" s="50"/>
      <c r="K66" s="50"/>
      <c r="L66" s="50"/>
      <c r="M66" s="50"/>
      <c r="N66" s="50"/>
      <c r="O66" s="50"/>
      <c r="P66" s="50"/>
      <c r="Q66" s="50"/>
      <c r="R66" s="50"/>
      <c r="S66" s="50" t="s">
        <v>1953</v>
      </c>
      <c r="T66" s="50"/>
      <c r="U66" s="50"/>
      <c r="V66" s="50" t="s">
        <v>19</v>
      </c>
      <c r="W66" s="50" t="s">
        <v>45</v>
      </c>
      <c r="X66" s="50" t="s">
        <v>45</v>
      </c>
      <c r="Y66" s="50" t="s">
        <v>45</v>
      </c>
      <c r="Z66" s="50" t="s">
        <v>45</v>
      </c>
      <c r="AA66" s="50"/>
      <c r="AB66" s="50"/>
      <c r="AC66" s="50"/>
    </row>
    <row r="67">
      <c r="A67" s="48"/>
      <c r="B67" s="49"/>
      <c r="C67" s="48"/>
      <c r="D67" s="50" t="str">
        <f>IFERROR(__xludf.DUMMYFUNCTION("""COMPUTED_VALUE"""),"")</f>
        <v/>
      </c>
      <c r="E67" s="50"/>
      <c r="F67" s="50"/>
      <c r="G67" s="50"/>
      <c r="H67" s="50" t="s">
        <v>1710</v>
      </c>
      <c r="I67" s="50"/>
      <c r="J67" s="50"/>
      <c r="K67" s="50"/>
      <c r="L67" s="50"/>
      <c r="M67" s="50"/>
      <c r="N67" s="50"/>
      <c r="O67" s="50"/>
      <c r="P67" s="50"/>
      <c r="Q67" s="50"/>
      <c r="R67" s="50"/>
      <c r="S67" s="50"/>
      <c r="T67" s="50"/>
      <c r="U67" s="50"/>
      <c r="V67" s="50" t="s">
        <v>45</v>
      </c>
      <c r="W67" s="50" t="s">
        <v>45</v>
      </c>
      <c r="X67" s="50" t="s">
        <v>45</v>
      </c>
      <c r="Y67" s="50" t="s">
        <v>45</v>
      </c>
      <c r="Z67" s="50" t="s">
        <v>45</v>
      </c>
      <c r="AA67" s="50"/>
      <c r="AB67" s="50"/>
      <c r="AC67" s="50"/>
    </row>
    <row r="68">
      <c r="A68" s="48"/>
      <c r="B68" s="49"/>
      <c r="C68" s="48"/>
      <c r="D68" s="50" t="str">
        <f>IFERROR(__xludf.DUMMYFUNCTION("""COMPUTED_VALUE"""),"")</f>
        <v/>
      </c>
      <c r="E68" s="50"/>
      <c r="F68" s="50"/>
      <c r="G68" s="50"/>
      <c r="H68" s="50" t="s">
        <v>1710</v>
      </c>
      <c r="I68" s="50"/>
      <c r="J68" s="50"/>
      <c r="K68" s="50"/>
      <c r="L68" s="50"/>
      <c r="M68" s="50"/>
      <c r="N68" s="50"/>
      <c r="O68" s="50"/>
      <c r="P68" s="50"/>
      <c r="Q68" s="50"/>
      <c r="R68" s="50"/>
      <c r="S68" s="50"/>
      <c r="T68" s="50"/>
      <c r="U68" s="50"/>
      <c r="V68" s="50"/>
      <c r="W68" s="50"/>
      <c r="X68" s="50"/>
      <c r="Y68" s="50"/>
      <c r="Z68" s="50"/>
      <c r="AA68" s="50"/>
      <c r="AB68" s="50"/>
      <c r="AC68" s="50"/>
    </row>
    <row r="69">
      <c r="A69" s="48" t="s">
        <v>1954</v>
      </c>
      <c r="B69" s="49" t="s">
        <v>1955</v>
      </c>
      <c r="C69" s="48" t="s">
        <v>15</v>
      </c>
      <c r="D69" s="50" t="str">
        <f>IFERROR(__xludf.DUMMYFUNCTION("""COMPUTED_VALUE"""),"Seau De 10 L")</f>
        <v>Seau De 10 L</v>
      </c>
      <c r="E69" s="50"/>
      <c r="F69" s="50" t="s">
        <v>1956</v>
      </c>
      <c r="G69" s="50" t="s">
        <v>1956</v>
      </c>
      <c r="H69" s="50" t="s">
        <v>1957</v>
      </c>
      <c r="I69" s="50"/>
      <c r="J69" s="50"/>
      <c r="K69" s="50"/>
      <c r="L69" s="50"/>
      <c r="M69" s="50"/>
      <c r="N69" s="50"/>
      <c r="O69" s="50"/>
      <c r="P69" s="50"/>
      <c r="Q69" s="50"/>
      <c r="R69" s="50"/>
      <c r="S69" s="50" t="s">
        <v>1958</v>
      </c>
      <c r="T69" s="50"/>
      <c r="U69" s="50"/>
      <c r="V69" s="50" t="s">
        <v>15</v>
      </c>
      <c r="W69" s="50" t="s">
        <v>1959</v>
      </c>
      <c r="X69" s="50" t="s">
        <v>1960</v>
      </c>
      <c r="Y69" s="50" t="s">
        <v>45</v>
      </c>
      <c r="Z69" s="50" t="s">
        <v>45</v>
      </c>
      <c r="AA69" s="50"/>
      <c r="AB69" s="50"/>
      <c r="AC69" s="50"/>
    </row>
    <row r="70">
      <c r="A70" s="48" t="s">
        <v>1954</v>
      </c>
      <c r="B70" s="49" t="s">
        <v>1961</v>
      </c>
      <c r="C70" s="48" t="s">
        <v>16</v>
      </c>
      <c r="D70" s="50" t="str">
        <f>IFERROR(__xludf.DUMMYFUNCTION("""COMPUTED_VALUE"""),"Seau De 15 L")</f>
        <v>Seau De 15 L</v>
      </c>
      <c r="E70" s="50"/>
      <c r="F70" s="50" t="s">
        <v>1962</v>
      </c>
      <c r="G70" s="50" t="s">
        <v>1962</v>
      </c>
      <c r="H70" s="50" t="s">
        <v>1963</v>
      </c>
      <c r="I70" s="50"/>
      <c r="J70" s="50"/>
      <c r="K70" s="50"/>
      <c r="L70" s="50"/>
      <c r="M70" s="50"/>
      <c r="N70" s="50"/>
      <c r="O70" s="50"/>
      <c r="P70" s="50"/>
      <c r="Q70" s="50"/>
      <c r="R70" s="50"/>
      <c r="S70" s="50" t="s">
        <v>1964</v>
      </c>
      <c r="T70" s="50"/>
      <c r="U70" s="50"/>
      <c r="V70" s="50" t="s">
        <v>16</v>
      </c>
      <c r="W70" s="50" t="s">
        <v>1959</v>
      </c>
      <c r="X70" s="50" t="s">
        <v>1965</v>
      </c>
      <c r="Y70" s="50" t="s">
        <v>45</v>
      </c>
      <c r="Z70" s="50" t="s">
        <v>45</v>
      </c>
      <c r="AA70" s="50"/>
      <c r="AB70" s="50"/>
      <c r="AC70" s="50"/>
    </row>
    <row r="71">
      <c r="A71" s="48" t="s">
        <v>1954</v>
      </c>
      <c r="B71" s="49" t="s">
        <v>1966</v>
      </c>
      <c r="C71" s="48" t="s">
        <v>17</v>
      </c>
      <c r="D71" s="50" t="str">
        <f>IFERROR(__xludf.DUMMYFUNCTION("""COMPUTED_VALUE"""),"Seau De 20 L")</f>
        <v>Seau De 20 L</v>
      </c>
      <c r="E71" s="50"/>
      <c r="F71" s="50" t="s">
        <v>1967</v>
      </c>
      <c r="G71" s="50" t="s">
        <v>1967</v>
      </c>
      <c r="H71" s="50" t="s">
        <v>1968</v>
      </c>
      <c r="I71" s="50"/>
      <c r="J71" s="50"/>
      <c r="K71" s="50"/>
      <c r="L71" s="50"/>
      <c r="M71" s="50"/>
      <c r="N71" s="50"/>
      <c r="O71" s="50"/>
      <c r="P71" s="50"/>
      <c r="Q71" s="50"/>
      <c r="R71" s="50"/>
      <c r="S71" s="50" t="s">
        <v>1969</v>
      </c>
      <c r="T71" s="50"/>
      <c r="U71" s="50"/>
      <c r="V71" s="50" t="s">
        <v>17</v>
      </c>
      <c r="W71" s="50" t="s">
        <v>1959</v>
      </c>
      <c r="X71" s="50" t="s">
        <v>1970</v>
      </c>
      <c r="Y71" s="50" t="s">
        <v>45</v>
      </c>
      <c r="Z71" s="50" t="s">
        <v>45</v>
      </c>
      <c r="AA71" s="50"/>
      <c r="AB71" s="50"/>
      <c r="AC71" s="50"/>
    </row>
    <row r="72">
      <c r="A72" s="48" t="s">
        <v>1954</v>
      </c>
      <c r="B72" s="49" t="s">
        <v>1971</v>
      </c>
      <c r="C72" s="48" t="s">
        <v>18</v>
      </c>
      <c r="D72" s="50" t="str">
        <f>IFERROR(__xludf.DUMMYFUNCTION("""COMPUTED_VALUE"""),"Seau De 25 L")</f>
        <v>Seau De 25 L</v>
      </c>
      <c r="E72" s="50"/>
      <c r="F72" s="50" t="s">
        <v>1972</v>
      </c>
      <c r="G72" s="50" t="s">
        <v>1972</v>
      </c>
      <c r="H72" s="50" t="s">
        <v>1973</v>
      </c>
      <c r="I72" s="50"/>
      <c r="J72" s="50"/>
      <c r="K72" s="50"/>
      <c r="L72" s="50"/>
      <c r="M72" s="50"/>
      <c r="N72" s="50"/>
      <c r="O72" s="50"/>
      <c r="P72" s="50"/>
      <c r="Q72" s="50"/>
      <c r="R72" s="50"/>
      <c r="S72" s="50" t="s">
        <v>1974</v>
      </c>
      <c r="T72" s="50"/>
      <c r="U72" s="50"/>
      <c r="V72" s="50" t="s">
        <v>18</v>
      </c>
      <c r="W72" s="50" t="s">
        <v>1959</v>
      </c>
      <c r="X72" s="50" t="s">
        <v>1975</v>
      </c>
      <c r="Y72" s="50" t="s">
        <v>45</v>
      </c>
      <c r="Z72" s="50" t="s">
        <v>45</v>
      </c>
      <c r="AA72" s="50"/>
      <c r="AB72" s="50"/>
      <c r="AC72" s="50"/>
    </row>
    <row r="73">
      <c r="A73" s="48" t="s">
        <v>1954</v>
      </c>
      <c r="B73" s="49" t="s">
        <v>1924</v>
      </c>
      <c r="C73" s="48" t="s">
        <v>44</v>
      </c>
      <c r="D73" s="50" t="str">
        <f>IFERROR(__xludf.DUMMYFUNCTION("""COMPUTED_VALUE"""),"Sac Long")</f>
        <v>Sac Long</v>
      </c>
      <c r="E73" s="50"/>
      <c r="F73" s="50" t="s">
        <v>1925</v>
      </c>
      <c r="G73" s="50" t="s">
        <v>1925</v>
      </c>
      <c r="H73" s="50" t="s">
        <v>1976</v>
      </c>
      <c r="I73" s="50"/>
      <c r="J73" s="50"/>
      <c r="K73" s="50"/>
      <c r="L73" s="50"/>
      <c r="M73" s="50"/>
      <c r="N73" s="50"/>
      <c r="O73" s="50"/>
      <c r="P73" s="50"/>
      <c r="Q73" s="50"/>
      <c r="R73" s="50"/>
      <c r="S73" s="50" t="s">
        <v>1923</v>
      </c>
      <c r="T73" s="50"/>
      <c r="U73" s="50"/>
      <c r="V73" s="50" t="s">
        <v>44</v>
      </c>
      <c r="W73" s="50" t="s">
        <v>1977</v>
      </c>
      <c r="X73" s="50" t="s">
        <v>45</v>
      </c>
      <c r="Y73" s="50" t="s">
        <v>45</v>
      </c>
      <c r="Z73" s="50" t="s">
        <v>45</v>
      </c>
      <c r="AA73" s="50"/>
      <c r="AB73" s="50"/>
      <c r="AC73" s="50"/>
    </row>
    <row r="74">
      <c r="A74" s="48" t="s">
        <v>1954</v>
      </c>
      <c r="B74" s="49" t="s">
        <v>1921</v>
      </c>
      <c r="C74" s="48" t="s">
        <v>43</v>
      </c>
      <c r="D74" s="50" t="str">
        <f>IFERROR(__xludf.DUMMYFUNCTION("""COMPUTED_VALUE"""),"Petit Sac")</f>
        <v>Petit Sac</v>
      </c>
      <c r="E74" s="50"/>
      <c r="F74" s="50" t="s">
        <v>1922</v>
      </c>
      <c r="G74" s="50" t="s">
        <v>1922</v>
      </c>
      <c r="H74" s="50" t="s">
        <v>1978</v>
      </c>
      <c r="I74" s="50"/>
      <c r="J74" s="50"/>
      <c r="K74" s="50"/>
      <c r="L74" s="50"/>
      <c r="M74" s="50"/>
      <c r="N74" s="50"/>
      <c r="O74" s="50"/>
      <c r="P74" s="50"/>
      <c r="Q74" s="50"/>
      <c r="R74" s="50"/>
      <c r="S74" s="50" t="s">
        <v>1926</v>
      </c>
      <c r="T74" s="50"/>
      <c r="U74" s="50"/>
      <c r="V74" s="50" t="s">
        <v>43</v>
      </c>
      <c r="W74" s="50" t="s">
        <v>1979</v>
      </c>
      <c r="X74" s="50" t="s">
        <v>45</v>
      </c>
      <c r="Y74" s="50" t="s">
        <v>45</v>
      </c>
      <c r="Z74" s="50" t="s">
        <v>45</v>
      </c>
      <c r="AA74" s="50"/>
      <c r="AB74" s="50"/>
      <c r="AC74" s="50"/>
    </row>
    <row r="75">
      <c r="A75" s="48" t="s">
        <v>1954</v>
      </c>
      <c r="B75" s="49" t="s">
        <v>1927</v>
      </c>
      <c r="C75" s="48" t="s">
        <v>14</v>
      </c>
      <c r="D75" s="50" t="str">
        <f>IFERROR(__xludf.DUMMYFUNCTION("""COMPUTED_VALUE"""),"Petit Bol")</f>
        <v>Petit Bol</v>
      </c>
      <c r="E75" s="50"/>
      <c r="F75" s="50" t="s">
        <v>1928</v>
      </c>
      <c r="G75" s="50" t="s">
        <v>1928</v>
      </c>
      <c r="H75" s="50" t="s">
        <v>1980</v>
      </c>
      <c r="I75" s="50"/>
      <c r="J75" s="50"/>
      <c r="K75" s="50"/>
      <c r="L75" s="50"/>
      <c r="M75" s="50"/>
      <c r="N75" s="50"/>
      <c r="O75" s="50"/>
      <c r="P75" s="50"/>
      <c r="Q75" s="50"/>
      <c r="R75" s="50"/>
      <c r="S75" s="50" t="s">
        <v>1929</v>
      </c>
      <c r="T75" s="50"/>
      <c r="U75" s="50"/>
      <c r="V75" s="50" t="s">
        <v>14</v>
      </c>
      <c r="W75" s="50" t="s">
        <v>1981</v>
      </c>
      <c r="X75" s="50" t="s">
        <v>45</v>
      </c>
      <c r="Y75" s="50" t="s">
        <v>45</v>
      </c>
      <c r="Z75" s="50" t="s">
        <v>45</v>
      </c>
      <c r="AA75" s="50"/>
      <c r="AB75" s="50"/>
      <c r="AC75" s="50"/>
    </row>
    <row r="76">
      <c r="A76" s="48" t="s">
        <v>1954</v>
      </c>
      <c r="B76" s="49" t="s">
        <v>1930</v>
      </c>
      <c r="C76" s="48" t="s">
        <v>1931</v>
      </c>
      <c r="D76" s="50" t="str">
        <f>IFERROR(__xludf.DUMMYFUNCTION("""COMPUTED_VALUE"""),"Grand Bol")</f>
        <v>Grand Bol</v>
      </c>
      <c r="E76" s="50"/>
      <c r="F76" s="50" t="s">
        <v>1932</v>
      </c>
      <c r="G76" s="50" t="s">
        <v>1932</v>
      </c>
      <c r="H76" s="50" t="s">
        <v>1982</v>
      </c>
      <c r="I76" s="50"/>
      <c r="J76" s="50"/>
      <c r="K76" s="50"/>
      <c r="L76" s="50"/>
      <c r="M76" s="50"/>
      <c r="N76" s="50"/>
      <c r="O76" s="50"/>
      <c r="P76" s="50"/>
      <c r="Q76" s="50"/>
      <c r="R76" s="50"/>
      <c r="S76" s="50" t="s">
        <v>1933</v>
      </c>
      <c r="T76" s="50"/>
      <c r="U76" s="50"/>
      <c r="V76" s="50" t="s">
        <v>1931</v>
      </c>
      <c r="W76" s="50" t="s">
        <v>1983</v>
      </c>
      <c r="X76" s="50" t="s">
        <v>45</v>
      </c>
      <c r="Y76" s="50" t="s">
        <v>45</v>
      </c>
      <c r="Z76" s="50" t="s">
        <v>45</v>
      </c>
      <c r="AA76" s="50"/>
      <c r="AB76" s="50"/>
      <c r="AC76" s="50"/>
    </row>
    <row r="77">
      <c r="A77" s="48" t="s">
        <v>1954</v>
      </c>
      <c r="B77" s="49" t="s">
        <v>1984</v>
      </c>
      <c r="C77" s="48" t="s">
        <v>19</v>
      </c>
      <c r="D77" s="50" t="str">
        <f>IFERROR(__xludf.DUMMYFUNCTION("""COMPUTED_VALUE"""),"Autre")</f>
        <v>Autre</v>
      </c>
      <c r="E77" s="50"/>
      <c r="F77" s="50" t="s">
        <v>1895</v>
      </c>
      <c r="G77" s="50" t="s">
        <v>1895</v>
      </c>
      <c r="H77" s="50" t="s">
        <v>1985</v>
      </c>
      <c r="I77" s="50"/>
      <c r="J77" s="50"/>
      <c r="K77" s="50"/>
      <c r="L77" s="50"/>
      <c r="M77" s="50"/>
      <c r="N77" s="50"/>
      <c r="O77" s="50"/>
      <c r="P77" s="50"/>
      <c r="Q77" s="50"/>
      <c r="R77" s="50"/>
      <c r="S77" s="50" t="s">
        <v>1953</v>
      </c>
      <c r="T77" s="50"/>
      <c r="U77" s="50"/>
      <c r="V77" s="50" t="s">
        <v>19</v>
      </c>
      <c r="W77" s="50" t="s">
        <v>1986</v>
      </c>
      <c r="X77" s="50" t="s">
        <v>45</v>
      </c>
      <c r="Y77" s="50" t="s">
        <v>45</v>
      </c>
      <c r="Z77" s="50" t="s">
        <v>45</v>
      </c>
      <c r="AA77" s="50"/>
      <c r="AB77" s="50"/>
      <c r="AC77" s="50"/>
    </row>
    <row r="78">
      <c r="A78" s="48"/>
      <c r="B78" s="49"/>
      <c r="C78" s="48"/>
      <c r="D78" s="50" t="str">
        <f>IFERROR(__xludf.DUMMYFUNCTION("""COMPUTED_VALUE"""),"")</f>
        <v/>
      </c>
      <c r="E78" s="50"/>
      <c r="F78" s="50"/>
      <c r="G78" s="50"/>
      <c r="H78" s="50" t="s">
        <v>1710</v>
      </c>
      <c r="I78" s="50"/>
      <c r="J78" s="50"/>
      <c r="K78" s="50"/>
      <c r="L78" s="50"/>
      <c r="M78" s="50"/>
      <c r="N78" s="50"/>
      <c r="O78" s="50"/>
      <c r="P78" s="50"/>
      <c r="Q78" s="50"/>
      <c r="R78" s="50"/>
      <c r="S78" s="50"/>
      <c r="T78" s="50"/>
      <c r="U78" s="50"/>
      <c r="V78" s="50" t="s">
        <v>45</v>
      </c>
      <c r="W78" s="50" t="s">
        <v>45</v>
      </c>
      <c r="X78" s="50" t="s">
        <v>45</v>
      </c>
      <c r="Y78" s="50" t="s">
        <v>45</v>
      </c>
      <c r="Z78" s="50" t="s">
        <v>45</v>
      </c>
      <c r="AA78" s="50"/>
      <c r="AB78" s="50"/>
      <c r="AC78" s="50"/>
    </row>
    <row r="79">
      <c r="A79" s="48" t="s">
        <v>1987</v>
      </c>
      <c r="B79" s="49" t="s">
        <v>1988</v>
      </c>
      <c r="C79" s="48" t="s">
        <v>1989</v>
      </c>
      <c r="D79" s="50" t="str">
        <f>IFERROR(__xludf.DUMMYFUNCTION("""COMPUTED_VALUE"""),"Fente En « V »")</f>
        <v>Fente En « V »</v>
      </c>
      <c r="E79" s="50"/>
      <c r="F79" s="50" t="s">
        <v>1989</v>
      </c>
      <c r="G79" s="50" t="s">
        <v>1989</v>
      </c>
      <c r="H79" s="50" t="s">
        <v>1710</v>
      </c>
      <c r="I79" s="50"/>
      <c r="J79" s="50"/>
      <c r="K79" s="50"/>
      <c r="L79" s="50"/>
      <c r="M79" s="50"/>
      <c r="N79" s="50"/>
      <c r="O79" s="50"/>
      <c r="P79" s="50"/>
      <c r="Q79" s="50"/>
      <c r="R79" s="50" t="s">
        <v>1990</v>
      </c>
      <c r="S79" s="50"/>
      <c r="T79" s="50"/>
      <c r="U79" s="50"/>
      <c r="V79" s="50" t="s">
        <v>1989</v>
      </c>
      <c r="W79" s="50" t="s">
        <v>45</v>
      </c>
      <c r="X79" s="50" t="s">
        <v>45</v>
      </c>
      <c r="Y79" s="50" t="s">
        <v>45</v>
      </c>
      <c r="Z79" s="50" t="s">
        <v>45</v>
      </c>
      <c r="AA79" s="50"/>
      <c r="AB79" s="50"/>
      <c r="AC79" s="50"/>
    </row>
    <row r="80">
      <c r="A80" s="48" t="s">
        <v>1987</v>
      </c>
      <c r="B80" s="49" t="s">
        <v>1991</v>
      </c>
      <c r="C80" s="48" t="s">
        <v>1992</v>
      </c>
      <c r="D80" s="50" t="str">
        <f>IFERROR(__xludf.DUMMYFUNCTION("""COMPUTED_VALUE"""),"Palettes Latérales")</f>
        <v>Palettes Latérales</v>
      </c>
      <c r="E80" s="50"/>
      <c r="F80" s="50" t="s">
        <v>1992</v>
      </c>
      <c r="G80" s="50" t="s">
        <v>1992</v>
      </c>
      <c r="H80" s="50" t="s">
        <v>1710</v>
      </c>
      <c r="I80" s="50"/>
      <c r="J80" s="50"/>
      <c r="K80" s="50"/>
      <c r="L80" s="50"/>
      <c r="M80" s="50"/>
      <c r="N80" s="50"/>
      <c r="O80" s="50"/>
      <c r="P80" s="50"/>
      <c r="Q80" s="50"/>
      <c r="R80" s="50" t="s">
        <v>1993</v>
      </c>
      <c r="S80" s="50"/>
      <c r="T80" s="50"/>
      <c r="U80" s="50"/>
      <c r="V80" s="50" t="s">
        <v>1992</v>
      </c>
      <c r="W80" s="50" t="s">
        <v>45</v>
      </c>
      <c r="X80" s="50" t="s">
        <v>45</v>
      </c>
      <c r="Y80" s="50" t="s">
        <v>45</v>
      </c>
      <c r="Z80" s="50" t="s">
        <v>45</v>
      </c>
      <c r="AA80" s="50"/>
      <c r="AB80" s="50"/>
      <c r="AC80" s="50"/>
    </row>
    <row r="81">
      <c r="A81" s="48" t="s">
        <v>1987</v>
      </c>
      <c r="B81" s="49" t="s">
        <v>1994</v>
      </c>
      <c r="C81" s="48" t="s">
        <v>1995</v>
      </c>
      <c r="D81" s="50" t="str">
        <f>IFERROR(__xludf.DUMMYFUNCTION("""COMPUTED_VALUE"""),"Approche")</f>
        <v>Approche</v>
      </c>
      <c r="E81" s="50"/>
      <c r="F81" s="50" t="s">
        <v>1995</v>
      </c>
      <c r="G81" s="50" t="s">
        <v>1995</v>
      </c>
      <c r="H81" s="50" t="s">
        <v>1710</v>
      </c>
      <c r="I81" s="50"/>
      <c r="J81" s="50"/>
      <c r="K81" s="50"/>
      <c r="L81" s="50"/>
      <c r="M81" s="50"/>
      <c r="N81" s="50"/>
      <c r="O81" s="50"/>
      <c r="P81" s="50"/>
      <c r="Q81" s="50"/>
      <c r="R81" s="50" t="s">
        <v>1996</v>
      </c>
      <c r="S81" s="50"/>
      <c r="T81" s="50"/>
      <c r="U81" s="50"/>
      <c r="V81" s="50" t="s">
        <v>1995</v>
      </c>
      <c r="W81" s="50" t="s">
        <v>45</v>
      </c>
      <c r="X81" s="50" t="s">
        <v>45</v>
      </c>
      <c r="Y81" s="50" t="s">
        <v>45</v>
      </c>
      <c r="Z81" s="50" t="s">
        <v>45</v>
      </c>
      <c r="AA81" s="50"/>
      <c r="AB81" s="50"/>
      <c r="AC81" s="50"/>
    </row>
    <row r="82">
      <c r="A82" s="48" t="s">
        <v>1987</v>
      </c>
      <c r="B82" s="49" t="s">
        <v>1997</v>
      </c>
      <c r="C82" s="48" t="s">
        <v>1998</v>
      </c>
      <c r="D82" s="50" t="str">
        <f>IFERROR(__xludf.DUMMYFUNCTION("""COMPUTED_VALUE"""),"Aboyer")</f>
        <v>Aboyer</v>
      </c>
      <c r="E82" s="50"/>
      <c r="F82" s="50" t="s">
        <v>1999</v>
      </c>
      <c r="G82" s="50" t="s">
        <v>1999</v>
      </c>
      <c r="H82" s="50" t="s">
        <v>1710</v>
      </c>
      <c r="I82" s="50"/>
      <c r="J82" s="50"/>
      <c r="K82" s="50"/>
      <c r="L82" s="50"/>
      <c r="M82" s="50"/>
      <c r="N82" s="50"/>
      <c r="O82" s="50"/>
      <c r="P82" s="50"/>
      <c r="Q82" s="50"/>
      <c r="R82" s="50" t="s">
        <v>2000</v>
      </c>
      <c r="S82" s="50"/>
      <c r="T82" s="50"/>
      <c r="U82" s="50"/>
      <c r="V82" s="50" t="s">
        <v>1998</v>
      </c>
      <c r="W82" s="50" t="s">
        <v>45</v>
      </c>
      <c r="X82" s="50" t="s">
        <v>45</v>
      </c>
      <c r="Y82" s="50" t="s">
        <v>45</v>
      </c>
      <c r="Z82" s="50" t="s">
        <v>45</v>
      </c>
      <c r="AA82" s="50"/>
      <c r="AB82" s="50"/>
      <c r="AC82" s="50"/>
    </row>
    <row r="83">
      <c r="A83" s="48" t="s">
        <v>1987</v>
      </c>
      <c r="B83" s="49" t="s">
        <v>2001</v>
      </c>
      <c r="C83" s="48" t="s">
        <v>2002</v>
      </c>
      <c r="D83" s="50" t="str">
        <f>IFERROR(__xludf.DUMMYFUNCTION("""COMPUTED_VALUE"""),"T Bud")</f>
        <v>T Bud</v>
      </c>
      <c r="E83" s="50"/>
      <c r="F83" s="50" t="s">
        <v>2002</v>
      </c>
      <c r="G83" s="50" t="s">
        <v>2002</v>
      </c>
      <c r="H83" s="50" t="s">
        <v>1710</v>
      </c>
      <c r="I83" s="50"/>
      <c r="J83" s="50"/>
      <c r="K83" s="50"/>
      <c r="L83" s="50"/>
      <c r="M83" s="50"/>
      <c r="N83" s="50"/>
      <c r="O83" s="50"/>
      <c r="P83" s="50"/>
      <c r="Q83" s="50"/>
      <c r="R83" s="50" t="s">
        <v>2003</v>
      </c>
      <c r="S83" s="50"/>
      <c r="T83" s="50"/>
      <c r="U83" s="50"/>
      <c r="V83" s="50" t="s">
        <v>2002</v>
      </c>
      <c r="W83" s="50"/>
      <c r="X83" s="50" t="s">
        <v>45</v>
      </c>
      <c r="Y83" s="50" t="s">
        <v>45</v>
      </c>
      <c r="Z83" s="50" t="s">
        <v>45</v>
      </c>
      <c r="AA83" s="50"/>
      <c r="AB83" s="50"/>
      <c r="AC83" s="50"/>
    </row>
    <row r="84">
      <c r="A84" s="48" t="s">
        <v>1987</v>
      </c>
      <c r="B84" s="49" t="s">
        <v>2004</v>
      </c>
      <c r="C84" s="48" t="s">
        <v>2005</v>
      </c>
      <c r="D84" s="50" t="str">
        <f>IFERROR(__xludf.DUMMYFUNCTION("""COMPUTED_VALUE"""),"Chip Bud")</f>
        <v>Chip Bud</v>
      </c>
      <c r="E84" s="50"/>
      <c r="F84" s="50" t="s">
        <v>2005</v>
      </c>
      <c r="G84" s="50" t="s">
        <v>2005</v>
      </c>
      <c r="H84" s="50" t="s">
        <v>1710</v>
      </c>
      <c r="I84" s="50"/>
      <c r="J84" s="50"/>
      <c r="K84" s="50"/>
      <c r="L84" s="50"/>
      <c r="M84" s="50"/>
      <c r="N84" s="50"/>
      <c r="O84" s="50"/>
      <c r="P84" s="50"/>
      <c r="Q84" s="50"/>
      <c r="R84" s="50" t="s">
        <v>2006</v>
      </c>
      <c r="S84" s="50"/>
      <c r="T84" s="50"/>
      <c r="U84" s="50"/>
      <c r="V84" s="50" t="s">
        <v>2005</v>
      </c>
      <c r="W84" s="50"/>
      <c r="X84" s="50" t="s">
        <v>45</v>
      </c>
      <c r="Y84" s="50" t="s">
        <v>45</v>
      </c>
      <c r="Z84" s="50" t="s">
        <v>45</v>
      </c>
      <c r="AA84" s="50"/>
      <c r="AB84" s="50"/>
      <c r="AC84" s="50"/>
    </row>
    <row r="85">
      <c r="A85" s="48" t="s">
        <v>1987</v>
      </c>
      <c r="B85" s="49" t="s">
        <v>2007</v>
      </c>
      <c r="C85" s="48" t="s">
        <v>2008</v>
      </c>
      <c r="D85" s="50" t="str">
        <f>IFERROR(__xludf.DUMMYFUNCTION("""COMPUTED_VALUE"""),"Fouet Et Langue")</f>
        <v>Fouet Et Langue</v>
      </c>
      <c r="E85" s="50"/>
      <c r="F85" s="50" t="s">
        <v>2009</v>
      </c>
      <c r="G85" s="50" t="s">
        <v>2009</v>
      </c>
      <c r="H85" s="50" t="s">
        <v>1710</v>
      </c>
      <c r="I85" s="50"/>
      <c r="J85" s="50"/>
      <c r="K85" s="50"/>
      <c r="L85" s="50"/>
      <c r="M85" s="50"/>
      <c r="N85" s="50"/>
      <c r="O85" s="50"/>
      <c r="P85" s="50"/>
      <c r="Q85" s="50"/>
      <c r="R85" s="50" t="s">
        <v>2010</v>
      </c>
      <c r="S85" s="50"/>
      <c r="T85" s="50"/>
      <c r="U85" s="50"/>
      <c r="V85" s="50" t="s">
        <v>2008</v>
      </c>
      <c r="W85" s="50" t="s">
        <v>45</v>
      </c>
      <c r="X85" s="50" t="s">
        <v>45</v>
      </c>
      <c r="Y85" s="50" t="s">
        <v>45</v>
      </c>
      <c r="Z85" s="50" t="s">
        <v>45</v>
      </c>
      <c r="AA85" s="50"/>
      <c r="AB85" s="50"/>
      <c r="AC85" s="50"/>
    </row>
    <row r="86">
      <c r="A86" s="48"/>
      <c r="B86" s="49"/>
      <c r="C86" s="48"/>
      <c r="D86" s="50" t="str">
        <f>IFERROR(__xludf.DUMMYFUNCTION("""COMPUTED_VALUE"""),"")</f>
        <v/>
      </c>
      <c r="E86" s="50"/>
      <c r="F86" s="50"/>
      <c r="G86" s="50"/>
      <c r="H86" s="50" t="s">
        <v>1710</v>
      </c>
      <c r="I86" s="50"/>
      <c r="J86" s="50"/>
      <c r="K86" s="50"/>
      <c r="L86" s="50"/>
      <c r="M86" s="50"/>
      <c r="N86" s="50"/>
      <c r="O86" s="50"/>
      <c r="P86" s="50"/>
      <c r="Q86" s="50"/>
      <c r="R86" s="50"/>
      <c r="S86" s="50"/>
      <c r="T86" s="50"/>
      <c r="U86" s="50"/>
      <c r="V86" s="50" t="s">
        <v>45</v>
      </c>
      <c r="W86" s="50" t="s">
        <v>45</v>
      </c>
      <c r="X86" s="50" t="s">
        <v>45</v>
      </c>
      <c r="Y86" s="50" t="s">
        <v>45</v>
      </c>
      <c r="Z86" s="50" t="s">
        <v>45</v>
      </c>
      <c r="AA86" s="50"/>
      <c r="AB86" s="50"/>
      <c r="AC86" s="50"/>
    </row>
    <row r="87">
      <c r="A87" s="48"/>
      <c r="B87" s="49"/>
      <c r="C87" s="48"/>
      <c r="D87" s="50" t="str">
        <f>IFERROR(__xludf.DUMMYFUNCTION("""COMPUTED_VALUE"""),"")</f>
        <v/>
      </c>
      <c r="E87" s="50"/>
      <c r="F87" s="50"/>
      <c r="G87" s="50"/>
      <c r="H87" s="50" t="s">
        <v>1710</v>
      </c>
      <c r="I87" s="50"/>
      <c r="J87" s="50"/>
      <c r="K87" s="50"/>
      <c r="L87" s="50"/>
      <c r="M87" s="50"/>
      <c r="N87" s="50"/>
      <c r="O87" s="50"/>
      <c r="P87" s="50"/>
      <c r="Q87" s="50"/>
      <c r="R87" s="50"/>
      <c r="S87" s="50"/>
      <c r="T87" s="50"/>
      <c r="U87" s="50"/>
      <c r="V87" s="50"/>
      <c r="W87" s="50"/>
      <c r="X87" s="50"/>
      <c r="Y87" s="50"/>
      <c r="Z87" s="50"/>
      <c r="AA87" s="50"/>
      <c r="AB87" s="50"/>
      <c r="AC87" s="50"/>
    </row>
    <row r="88">
      <c r="A88" s="48" t="s">
        <v>2011</v>
      </c>
      <c r="B88" s="49" t="s">
        <v>2012</v>
      </c>
      <c r="C88" s="48" t="s">
        <v>2013</v>
      </c>
      <c r="D88" s="50" t="str">
        <f>IFERROR(__xludf.DUMMYFUNCTION("""COMPUTED_VALUE"""),"Engrais")</f>
        <v>Engrais</v>
      </c>
      <c r="E88" s="50"/>
      <c r="F88" s="50" t="s">
        <v>2014</v>
      </c>
      <c r="G88" s="50" t="s">
        <v>2014</v>
      </c>
      <c r="H88" s="50" t="s">
        <v>2015</v>
      </c>
      <c r="I88" s="50"/>
      <c r="J88" s="50"/>
      <c r="K88" s="50"/>
      <c r="L88" s="50"/>
      <c r="M88" s="50"/>
      <c r="N88" s="50"/>
      <c r="O88" s="50"/>
      <c r="P88" s="50"/>
      <c r="Q88" s="50"/>
      <c r="R88" s="50"/>
      <c r="S88" s="50"/>
      <c r="T88" s="50"/>
      <c r="U88" s="50"/>
      <c r="V88" s="50" t="s">
        <v>2013</v>
      </c>
      <c r="W88" s="50" t="s">
        <v>2016</v>
      </c>
      <c r="X88" s="50" t="s">
        <v>2017</v>
      </c>
      <c r="Y88" s="50"/>
      <c r="Z88" s="50" t="s">
        <v>45</v>
      </c>
      <c r="AA88" s="50"/>
      <c r="AB88" s="50"/>
      <c r="AC88" s="50"/>
    </row>
    <row r="89">
      <c r="A89" s="48" t="s">
        <v>2011</v>
      </c>
      <c r="B89" s="49" t="s">
        <v>2018</v>
      </c>
      <c r="C89" s="48" t="s">
        <v>2019</v>
      </c>
      <c r="D89" s="50" t="str">
        <f>IFERROR(__xludf.DUMMYFUNCTION("""COMPUTED_VALUE"""),"Taille")</f>
        <v>Taille</v>
      </c>
      <c r="E89" s="50"/>
      <c r="F89" s="50" t="s">
        <v>2020</v>
      </c>
      <c r="G89" s="50" t="s">
        <v>2020</v>
      </c>
      <c r="H89" s="50" t="s">
        <v>2021</v>
      </c>
      <c r="I89" s="50"/>
      <c r="J89" s="50"/>
      <c r="K89" s="50"/>
      <c r="L89" s="50"/>
      <c r="M89" s="50"/>
      <c r="N89" s="50"/>
      <c r="O89" s="50"/>
      <c r="P89" s="50"/>
      <c r="Q89" s="50"/>
      <c r="R89" s="50"/>
      <c r="S89" s="50"/>
      <c r="T89" s="50"/>
      <c r="U89" s="50"/>
      <c r="V89" s="50" t="s">
        <v>2019</v>
      </c>
      <c r="W89" s="50" t="s">
        <v>1775</v>
      </c>
      <c r="X89" s="50" t="s">
        <v>2022</v>
      </c>
      <c r="Y89" s="50" t="s">
        <v>45</v>
      </c>
      <c r="Z89" s="50" t="s">
        <v>45</v>
      </c>
      <c r="AA89" s="50"/>
      <c r="AB89" s="50"/>
      <c r="AC89" s="50"/>
    </row>
    <row r="90">
      <c r="A90" s="48" t="s">
        <v>2011</v>
      </c>
      <c r="B90" s="49" t="s">
        <v>2023</v>
      </c>
      <c r="C90" s="48" t="s">
        <v>2024</v>
      </c>
      <c r="D90" s="50" t="str">
        <f>IFERROR(__xludf.DUMMYFUNCTION("""COMPUTED_VALUE"""),"Ajouter De L'Ombre")</f>
        <v>Ajouter De L'Ombre</v>
      </c>
      <c r="E90" s="50"/>
      <c r="F90" s="50" t="s">
        <v>2025</v>
      </c>
      <c r="G90" s="50" t="s">
        <v>2025</v>
      </c>
      <c r="H90" s="50" t="s">
        <v>2026</v>
      </c>
      <c r="I90" s="50"/>
      <c r="J90" s="50"/>
      <c r="K90" s="50"/>
      <c r="L90" s="50"/>
      <c r="M90" s="50"/>
      <c r="N90" s="50"/>
      <c r="O90" s="50"/>
      <c r="P90" s="50"/>
      <c r="Q90" s="50"/>
      <c r="R90" s="50"/>
      <c r="S90" s="50"/>
      <c r="T90" s="50"/>
      <c r="U90" s="50"/>
      <c r="V90" s="50" t="s">
        <v>2024</v>
      </c>
      <c r="W90" s="50" t="s">
        <v>2016</v>
      </c>
      <c r="X90" s="50" t="s">
        <v>2027</v>
      </c>
      <c r="Y90" s="50" t="s">
        <v>45</v>
      </c>
      <c r="Z90" s="50" t="s">
        <v>45</v>
      </c>
      <c r="AA90" s="50"/>
      <c r="AB90" s="50"/>
      <c r="AC90" s="50"/>
    </row>
    <row r="91">
      <c r="A91" s="48" t="s">
        <v>2011</v>
      </c>
      <c r="B91" s="49" t="s">
        <v>2028</v>
      </c>
      <c r="C91" s="48" t="s">
        <v>2029</v>
      </c>
      <c r="D91" s="50" t="str">
        <f>IFERROR(__xludf.DUMMYFUNCTION("""COMPUTED_VALUE"""),"Eau")</f>
        <v>Eau</v>
      </c>
      <c r="E91" s="50"/>
      <c r="F91" s="50" t="s">
        <v>2030</v>
      </c>
      <c r="G91" s="50" t="s">
        <v>2030</v>
      </c>
      <c r="H91" s="50" t="s">
        <v>2031</v>
      </c>
      <c r="I91" s="50"/>
      <c r="J91" s="50"/>
      <c r="K91" s="50"/>
      <c r="L91" s="50"/>
      <c r="M91" s="50"/>
      <c r="N91" s="50"/>
      <c r="O91" s="50"/>
      <c r="P91" s="50"/>
      <c r="Q91" s="50"/>
      <c r="R91" s="50"/>
      <c r="S91" s="50"/>
      <c r="T91" s="50"/>
      <c r="U91" s="50"/>
      <c r="V91" s="50" t="s">
        <v>2029</v>
      </c>
      <c r="W91" s="50" t="s">
        <v>1801</v>
      </c>
      <c r="X91" s="50" t="s">
        <v>1803</v>
      </c>
      <c r="Y91" s="50" t="s">
        <v>45</v>
      </c>
      <c r="Z91" s="50" t="s">
        <v>45</v>
      </c>
      <c r="AA91" s="50"/>
      <c r="AB91" s="50"/>
      <c r="AC91" s="50"/>
    </row>
    <row r="92">
      <c r="A92" s="48" t="s">
        <v>2011</v>
      </c>
      <c r="B92" s="49" t="s">
        <v>2032</v>
      </c>
      <c r="C92" s="48" t="s">
        <v>2033</v>
      </c>
      <c r="D92" s="50" t="str">
        <f>IFERROR(__xludf.DUMMYFUNCTION("""COMPUTED_VALUE"""),"Travail De Haut Niveau")</f>
        <v>Travail De Haut Niveau</v>
      </c>
      <c r="E92" s="50"/>
      <c r="F92" s="50" t="s">
        <v>2034</v>
      </c>
      <c r="G92" s="50" t="s">
        <v>2034</v>
      </c>
      <c r="H92" s="50" t="s">
        <v>2035</v>
      </c>
      <c r="I92" s="50"/>
      <c r="J92" s="50"/>
      <c r="K92" s="50"/>
      <c r="L92" s="50"/>
      <c r="M92" s="50"/>
      <c r="N92" s="50"/>
      <c r="O92" s="50"/>
      <c r="P92" s="50"/>
      <c r="Q92" s="50"/>
      <c r="R92" s="50"/>
      <c r="S92" s="50"/>
      <c r="T92" s="50"/>
      <c r="U92" s="50"/>
      <c r="V92" s="50" t="s">
        <v>2033</v>
      </c>
      <c r="W92" s="50" t="s">
        <v>1846</v>
      </c>
      <c r="X92" s="50" t="s">
        <v>1775</v>
      </c>
      <c r="Y92" s="50" t="s">
        <v>1880</v>
      </c>
      <c r="Z92" s="50" t="s">
        <v>1769</v>
      </c>
      <c r="AA92" s="50"/>
      <c r="AB92" s="50"/>
      <c r="AC92" s="50"/>
    </row>
    <row r="93">
      <c r="A93" s="48" t="s">
        <v>2011</v>
      </c>
      <c r="B93" s="49" t="s">
        <v>2036</v>
      </c>
      <c r="C93" s="48" t="s">
        <v>2037</v>
      </c>
      <c r="D93" s="50" t="str">
        <f>IFERROR(__xludf.DUMMYFUNCTION("""COMPUTED_VALUE"""),"Ajouter Une Étiquette/Un Tag")</f>
        <v>Ajouter Une Étiquette/Un Tag</v>
      </c>
      <c r="E93" s="50"/>
      <c r="F93" s="50" t="s">
        <v>2038</v>
      </c>
      <c r="G93" s="50" t="s">
        <v>2038</v>
      </c>
      <c r="H93" s="50" t="s">
        <v>2039</v>
      </c>
      <c r="I93" s="50"/>
      <c r="J93" s="50"/>
      <c r="K93" s="50"/>
      <c r="L93" s="50"/>
      <c r="M93" s="50"/>
      <c r="N93" s="50"/>
      <c r="O93" s="50"/>
      <c r="P93" s="50"/>
      <c r="Q93" s="50"/>
      <c r="R93" s="50"/>
      <c r="S93" s="50"/>
      <c r="T93" s="50"/>
      <c r="U93" s="50"/>
      <c r="V93" s="50" t="s">
        <v>2037</v>
      </c>
      <c r="W93" s="50" t="s">
        <v>2040</v>
      </c>
      <c r="X93" s="50"/>
      <c r="Y93" s="50" t="s">
        <v>45</v>
      </c>
      <c r="Z93" s="50" t="s">
        <v>45</v>
      </c>
      <c r="AA93" s="50"/>
      <c r="AB93" s="50"/>
      <c r="AC93" s="50"/>
    </row>
    <row r="94">
      <c r="A94" s="48" t="s">
        <v>2011</v>
      </c>
      <c r="B94" s="49" t="s">
        <v>2041</v>
      </c>
      <c r="C94" s="48" t="s">
        <v>2042</v>
      </c>
      <c r="D94" s="50" t="str">
        <f>IFERROR(__xludf.DUMMYFUNCTION("""COMPUTED_VALUE"""),"Peinture Blanche")</f>
        <v>Peinture Blanche</v>
      </c>
      <c r="E94" s="50"/>
      <c r="F94" s="50" t="s">
        <v>2043</v>
      </c>
      <c r="G94" s="50" t="s">
        <v>2043</v>
      </c>
      <c r="H94" s="50" t="s">
        <v>2044</v>
      </c>
      <c r="I94" s="50"/>
      <c r="J94" s="50"/>
      <c r="K94" s="50"/>
      <c r="L94" s="50"/>
      <c r="M94" s="50"/>
      <c r="N94" s="50"/>
      <c r="O94" s="50"/>
      <c r="P94" s="50"/>
      <c r="Q94" s="50"/>
      <c r="R94" s="50"/>
      <c r="S94" s="50"/>
      <c r="T94" s="50"/>
      <c r="U94" s="50"/>
      <c r="V94" s="50" t="s">
        <v>2042</v>
      </c>
      <c r="W94" s="50" t="s">
        <v>2045</v>
      </c>
      <c r="X94" s="50" t="s">
        <v>45</v>
      </c>
      <c r="Y94" s="50" t="s">
        <v>45</v>
      </c>
      <c r="Z94" s="50" t="s">
        <v>45</v>
      </c>
      <c r="AA94" s="50"/>
      <c r="AB94" s="50"/>
      <c r="AC94" s="50"/>
    </row>
    <row r="95">
      <c r="A95" s="48" t="s">
        <v>2011</v>
      </c>
      <c r="B95" s="49" t="s">
        <v>2046</v>
      </c>
      <c r="C95" s="48" t="s">
        <v>2047</v>
      </c>
      <c r="D95" s="50" t="str">
        <f>IFERROR(__xludf.DUMMYFUNCTION("""COMPUTED_VALUE"""),"Envelopper Avec Du Ruban De Greffe")</f>
        <v>Envelopper Avec Du Ruban De Greffe</v>
      </c>
      <c r="E95" s="50"/>
      <c r="F95" s="50" t="s">
        <v>2048</v>
      </c>
      <c r="G95" s="50" t="s">
        <v>2048</v>
      </c>
      <c r="H95" s="50" t="s">
        <v>2049</v>
      </c>
      <c r="I95" s="50"/>
      <c r="J95" s="50"/>
      <c r="K95" s="50"/>
      <c r="L95" s="50"/>
      <c r="M95" s="50"/>
      <c r="N95" s="50"/>
      <c r="O95" s="50"/>
      <c r="P95" s="50"/>
      <c r="Q95" s="50"/>
      <c r="R95" s="50"/>
      <c r="S95" s="50"/>
      <c r="T95" s="50"/>
      <c r="U95" s="50"/>
      <c r="V95" s="50" t="s">
        <v>2047</v>
      </c>
      <c r="W95" s="50" t="s">
        <v>1880</v>
      </c>
      <c r="X95" s="50"/>
      <c r="Y95" s="50"/>
      <c r="Z95" s="50" t="s">
        <v>45</v>
      </c>
      <c r="AA95" s="50"/>
      <c r="AB95" s="50"/>
      <c r="AC95" s="50"/>
    </row>
    <row r="96">
      <c r="A96" s="48" t="s">
        <v>2011</v>
      </c>
      <c r="B96" s="49" t="s">
        <v>2050</v>
      </c>
      <c r="C96" s="48" t="s">
        <v>2051</v>
      </c>
      <c r="D96" s="50" t="str">
        <f>IFERROR(__xludf.DUMMYFUNCTION("""COMPUTED_VALUE"""),"Pesticide")</f>
        <v>Pesticide</v>
      </c>
      <c r="E96" s="50"/>
      <c r="F96" s="50" t="s">
        <v>2051</v>
      </c>
      <c r="G96" s="50" t="s">
        <v>2051</v>
      </c>
      <c r="H96" s="50" t="s">
        <v>2052</v>
      </c>
      <c r="I96" s="50"/>
      <c r="J96" s="50"/>
      <c r="K96" s="50"/>
      <c r="L96" s="50"/>
      <c r="M96" s="50"/>
      <c r="N96" s="50"/>
      <c r="O96" s="50"/>
      <c r="P96" s="50"/>
      <c r="Q96" s="50"/>
      <c r="R96" s="50"/>
      <c r="S96" s="50"/>
      <c r="T96" s="50"/>
      <c r="U96" s="50"/>
      <c r="V96" s="50" t="s">
        <v>2051</v>
      </c>
      <c r="W96" s="50" t="s">
        <v>2053</v>
      </c>
      <c r="X96" s="50" t="s">
        <v>2054</v>
      </c>
      <c r="Y96" s="50" t="s">
        <v>45</v>
      </c>
      <c r="Z96" s="50" t="s">
        <v>45</v>
      </c>
      <c r="AA96" s="50"/>
      <c r="AB96" s="50"/>
      <c r="AC96" s="50"/>
    </row>
    <row r="97">
      <c r="A97" s="48" t="s">
        <v>2011</v>
      </c>
      <c r="B97" s="49" t="s">
        <v>2055</v>
      </c>
      <c r="C97" s="48" t="s">
        <v>2056</v>
      </c>
      <c r="D97" s="50" t="str">
        <f>IFERROR(__xludf.DUMMYFUNCTION("""COMPUTED_VALUE"""),"Réduire L'Ombre")</f>
        <v>Réduire L'Ombre</v>
      </c>
      <c r="E97" s="50"/>
      <c r="F97" s="50" t="s">
        <v>2057</v>
      </c>
      <c r="G97" s="50" t="s">
        <v>2057</v>
      </c>
      <c r="H97" s="50" t="s">
        <v>2058</v>
      </c>
      <c r="I97" s="50"/>
      <c r="J97" s="50"/>
      <c r="K97" s="50"/>
      <c r="L97" s="50"/>
      <c r="M97" s="50"/>
      <c r="N97" s="50"/>
      <c r="O97" s="50"/>
      <c r="P97" s="50"/>
      <c r="Q97" s="50"/>
      <c r="R97" s="50"/>
      <c r="S97" s="50"/>
      <c r="T97" s="50"/>
      <c r="U97" s="50"/>
      <c r="V97" s="50" t="s">
        <v>2056</v>
      </c>
      <c r="W97" s="50" t="s">
        <v>2059</v>
      </c>
      <c r="X97" s="50" t="s">
        <v>2060</v>
      </c>
      <c r="Y97" s="50" t="s">
        <v>2061</v>
      </c>
      <c r="Z97" s="50" t="s">
        <v>45</v>
      </c>
      <c r="AA97" s="50"/>
      <c r="AB97" s="50"/>
      <c r="AC97" s="50"/>
    </row>
    <row r="98">
      <c r="A98" s="48" t="s">
        <v>2011</v>
      </c>
      <c r="B98" s="49" t="s">
        <v>2062</v>
      </c>
      <c r="C98" s="48" t="s">
        <v>2063</v>
      </c>
      <c r="D98" s="50" t="str">
        <f>IFERROR(__xludf.DUMMYFUNCTION("""COMPUTED_VALUE"""),"Ajouter De La Terre")</f>
        <v>Ajouter De La Terre</v>
      </c>
      <c r="E98" s="50"/>
      <c r="F98" s="50" t="s">
        <v>2064</v>
      </c>
      <c r="G98" s="50" t="s">
        <v>2064</v>
      </c>
      <c r="H98" s="50" t="s">
        <v>2065</v>
      </c>
      <c r="I98" s="50"/>
      <c r="J98" s="50"/>
      <c r="K98" s="50"/>
      <c r="L98" s="50"/>
      <c r="M98" s="50"/>
      <c r="N98" s="50"/>
      <c r="O98" s="50"/>
      <c r="P98" s="50"/>
      <c r="Q98" s="50"/>
      <c r="R98" s="50"/>
      <c r="S98" s="50"/>
      <c r="T98" s="50"/>
      <c r="U98" s="50"/>
      <c r="V98" s="50" t="s">
        <v>2063</v>
      </c>
      <c r="W98" s="50" t="s">
        <v>2016</v>
      </c>
      <c r="X98" s="50" t="s">
        <v>2066</v>
      </c>
      <c r="Y98" s="50" t="s">
        <v>1959</v>
      </c>
      <c r="Z98" s="50" t="s">
        <v>45</v>
      </c>
      <c r="AA98" s="50"/>
      <c r="AB98" s="50"/>
      <c r="AC98" s="50"/>
    </row>
    <row r="99">
      <c r="A99" s="48"/>
      <c r="B99" s="49"/>
      <c r="C99" s="48"/>
      <c r="D99" s="50" t="str">
        <f>IFERROR(__xludf.DUMMYFUNCTION("""COMPUTED_VALUE"""),"")</f>
        <v/>
      </c>
      <c r="E99" s="50"/>
      <c r="F99" s="50"/>
      <c r="G99" s="50"/>
      <c r="H99" s="50" t="s">
        <v>1710</v>
      </c>
      <c r="I99" s="50"/>
      <c r="J99" s="50"/>
      <c r="K99" s="50"/>
      <c r="L99" s="50"/>
      <c r="M99" s="50"/>
      <c r="N99" s="50"/>
      <c r="O99" s="50"/>
      <c r="P99" s="50"/>
      <c r="Q99" s="50"/>
      <c r="R99" s="50"/>
      <c r="S99" s="50"/>
      <c r="T99" s="50"/>
      <c r="U99" s="50"/>
      <c r="V99" s="50" t="s">
        <v>45</v>
      </c>
      <c r="W99" s="50" t="s">
        <v>45</v>
      </c>
      <c r="X99" s="50" t="s">
        <v>45</v>
      </c>
      <c r="Y99" s="50" t="s">
        <v>45</v>
      </c>
      <c r="Z99" s="50" t="s">
        <v>45</v>
      </c>
      <c r="AA99" s="50"/>
      <c r="AB99" s="50"/>
      <c r="AC99" s="50"/>
    </row>
    <row r="100">
      <c r="A100" s="48"/>
      <c r="B100" s="49"/>
      <c r="C100" s="48"/>
      <c r="D100" s="50" t="str">
        <f>IFERROR(__xludf.DUMMYFUNCTION("""COMPUTED_VALUE"""),"")</f>
        <v/>
      </c>
      <c r="E100" s="50"/>
      <c r="F100" s="50"/>
      <c r="G100" s="50"/>
      <c r="H100" s="50" t="s">
        <v>1710</v>
      </c>
      <c r="I100" s="50"/>
      <c r="J100" s="50"/>
      <c r="K100" s="50"/>
      <c r="L100" s="50"/>
      <c r="M100" s="50"/>
      <c r="N100" s="50"/>
      <c r="O100" s="50"/>
      <c r="P100" s="50"/>
      <c r="Q100" s="50"/>
      <c r="R100" s="50"/>
      <c r="S100" s="50"/>
      <c r="T100" s="50"/>
      <c r="U100" s="50"/>
      <c r="V100" s="50"/>
      <c r="W100" s="50"/>
      <c r="X100" s="50"/>
      <c r="Y100" s="50"/>
      <c r="Z100" s="50"/>
      <c r="AA100" s="50"/>
      <c r="AB100" s="50"/>
      <c r="AC100" s="50"/>
    </row>
    <row r="101">
      <c r="A101" s="48" t="s">
        <v>2067</v>
      </c>
      <c r="B101" s="49" t="s">
        <v>2068</v>
      </c>
      <c r="C101" s="48" t="s">
        <v>2069</v>
      </c>
      <c r="D101" s="50" t="str">
        <f>IFERROR(__xludf.DUMMYFUNCTION("""COMPUTED_VALUE"""),"Engrais Pour Arbres Fruitiers 4-5-4 Kellogg Garden Organics")</f>
        <v>Engrais Pour Arbres Fruitiers 4-5-4 Kellogg Garden Organics</v>
      </c>
      <c r="E101" s="50"/>
      <c r="F101" s="50" t="s">
        <v>2070</v>
      </c>
      <c r="G101" s="50" t="s">
        <v>2070</v>
      </c>
      <c r="H101" s="50" t="s">
        <v>1710</v>
      </c>
      <c r="I101" s="50"/>
      <c r="J101" s="50"/>
      <c r="K101" s="50"/>
      <c r="L101" s="50"/>
      <c r="M101" s="50"/>
      <c r="N101" s="50"/>
      <c r="O101" s="50"/>
      <c r="P101" s="50"/>
      <c r="Q101" s="50"/>
      <c r="R101" s="50"/>
      <c r="S101" s="50"/>
      <c r="T101" s="50"/>
      <c r="U101" s="50"/>
      <c r="V101" s="50" t="s">
        <v>2069</v>
      </c>
      <c r="W101" s="50"/>
      <c r="X101" s="50"/>
      <c r="Y101" s="50"/>
      <c r="Z101" s="50"/>
      <c r="AA101" s="50" t="s">
        <v>45</v>
      </c>
      <c r="AB101" s="50"/>
      <c r="AC101" s="50"/>
    </row>
    <row r="102">
      <c r="A102" s="48" t="s">
        <v>2067</v>
      </c>
      <c r="B102" s="49" t="s">
        <v>2071</v>
      </c>
      <c r="C102" s="48" t="s">
        <v>2072</v>
      </c>
      <c r="D102" s="50" t="str">
        <f>IFERROR(__xludf.DUMMYFUNCTION("""COMPUTED_VALUE"""),"18-6-12 Osmocote")</f>
        <v>18-6-12 Osmocote</v>
      </c>
      <c r="E102" s="50"/>
      <c r="F102" s="50" t="s">
        <v>2072</v>
      </c>
      <c r="G102" s="50" t="s">
        <v>2072</v>
      </c>
      <c r="H102" s="50" t="s">
        <v>1710</v>
      </c>
      <c r="I102" s="50"/>
      <c r="J102" s="50"/>
      <c r="K102" s="50"/>
      <c r="L102" s="50"/>
      <c r="M102" s="50"/>
      <c r="N102" s="50"/>
      <c r="O102" s="50"/>
      <c r="P102" s="50"/>
      <c r="Q102" s="50"/>
      <c r="R102" s="50"/>
      <c r="S102" s="50"/>
      <c r="T102" s="50"/>
      <c r="U102" s="50"/>
      <c r="V102" s="50" t="s">
        <v>2072</v>
      </c>
      <c r="W102" s="50" t="s">
        <v>45</v>
      </c>
      <c r="X102" s="50" t="s">
        <v>45</v>
      </c>
      <c r="Y102" s="50" t="s">
        <v>45</v>
      </c>
      <c r="Z102" s="50" t="s">
        <v>45</v>
      </c>
      <c r="AA102" s="50"/>
      <c r="AB102" s="50"/>
      <c r="AC102" s="50"/>
    </row>
    <row r="103">
      <c r="A103" s="48" t="s">
        <v>2067</v>
      </c>
      <c r="B103" s="49" t="s">
        <v>2073</v>
      </c>
      <c r="C103" s="48" t="s">
        <v>1784</v>
      </c>
      <c r="D103" s="50" t="str">
        <f>IFERROR(__xludf.DUMMYFUNCTION("""COMPUTED_VALUE"""),"Compost")</f>
        <v>Compost</v>
      </c>
      <c r="E103" s="50"/>
      <c r="F103" s="50" t="s">
        <v>1784</v>
      </c>
      <c r="G103" s="50" t="s">
        <v>1784</v>
      </c>
      <c r="H103" s="50" t="s">
        <v>2074</v>
      </c>
      <c r="I103" s="50"/>
      <c r="J103" s="50"/>
      <c r="K103" s="50"/>
      <c r="L103" s="50"/>
      <c r="M103" s="50"/>
      <c r="N103" s="50"/>
      <c r="O103" s="50"/>
      <c r="P103" s="50"/>
      <c r="Q103" s="50"/>
      <c r="R103" s="50"/>
      <c r="S103" s="50"/>
      <c r="T103" s="50"/>
      <c r="U103" s="50"/>
      <c r="V103" s="50" t="s">
        <v>1784</v>
      </c>
      <c r="W103" s="50" t="s">
        <v>2075</v>
      </c>
      <c r="X103" s="50" t="s">
        <v>1796</v>
      </c>
      <c r="Y103" s="50" t="s">
        <v>45</v>
      </c>
      <c r="Z103" s="50" t="s">
        <v>45</v>
      </c>
      <c r="AA103" s="50"/>
      <c r="AB103" s="50"/>
      <c r="AC103" s="50"/>
    </row>
    <row r="104">
      <c r="A104" s="48" t="s">
        <v>2067</v>
      </c>
      <c r="B104" s="49" t="s">
        <v>2076</v>
      </c>
      <c r="C104" s="48" t="s">
        <v>2077</v>
      </c>
      <c r="D104" s="50" t="str">
        <f>IFERROR(__xludf.DUMMYFUNCTION("""COMPUTED_VALUE"""),"Fumier De Poulet")</f>
        <v>Fumier De Poulet</v>
      </c>
      <c r="E104" s="50"/>
      <c r="F104" s="50" t="s">
        <v>2078</v>
      </c>
      <c r="G104" s="50" t="s">
        <v>2078</v>
      </c>
      <c r="H104" s="50" t="s">
        <v>2079</v>
      </c>
      <c r="I104" s="50"/>
      <c r="J104" s="50"/>
      <c r="K104" s="50"/>
      <c r="L104" s="50"/>
      <c r="M104" s="50"/>
      <c r="N104" s="50"/>
      <c r="O104" s="50"/>
      <c r="P104" s="50"/>
      <c r="Q104" s="50"/>
      <c r="R104" s="50"/>
      <c r="S104" s="50"/>
      <c r="T104" s="50"/>
      <c r="U104" s="50"/>
      <c r="V104" s="50" t="s">
        <v>2077</v>
      </c>
      <c r="W104" s="50" t="s">
        <v>2080</v>
      </c>
      <c r="X104" s="50"/>
      <c r="Y104" s="50" t="s">
        <v>45</v>
      </c>
      <c r="Z104" s="50" t="s">
        <v>45</v>
      </c>
      <c r="AA104" s="50"/>
      <c r="AB104" s="50"/>
      <c r="AC104" s="50"/>
    </row>
    <row r="105">
      <c r="A105" s="48" t="s">
        <v>2067</v>
      </c>
      <c r="B105" s="49" t="s">
        <v>2081</v>
      </c>
      <c r="C105" s="48" t="s">
        <v>19</v>
      </c>
      <c r="D105" s="50" t="str">
        <f>IFERROR(__xludf.DUMMYFUNCTION("""COMPUTED_VALUE"""),"Autre")</f>
        <v>Autre</v>
      </c>
      <c r="E105" s="50"/>
      <c r="F105" s="50" t="s">
        <v>1895</v>
      </c>
      <c r="G105" s="50" t="s">
        <v>1895</v>
      </c>
      <c r="H105" s="50" t="s">
        <v>1710</v>
      </c>
      <c r="I105" s="50"/>
      <c r="J105" s="50"/>
      <c r="K105" s="50"/>
      <c r="L105" s="50"/>
      <c r="M105" s="50"/>
      <c r="N105" s="50"/>
      <c r="O105" s="50"/>
      <c r="P105" s="50"/>
      <c r="Q105" s="50"/>
      <c r="R105" s="50"/>
      <c r="S105" s="50"/>
      <c r="T105" s="50"/>
      <c r="U105" s="50"/>
      <c r="V105" s="50" t="s">
        <v>19</v>
      </c>
      <c r="W105" s="50" t="s">
        <v>45</v>
      </c>
      <c r="X105" s="50" t="s">
        <v>45</v>
      </c>
      <c r="Y105" s="50" t="s">
        <v>45</v>
      </c>
      <c r="Z105" s="50" t="s">
        <v>45</v>
      </c>
      <c r="AA105" s="50"/>
      <c r="AB105" s="50"/>
      <c r="AC105" s="50"/>
    </row>
    <row r="106">
      <c r="A106" s="48"/>
      <c r="B106" s="49"/>
      <c r="C106" s="48"/>
      <c r="D106" s="50" t="str">
        <f>IFERROR(__xludf.DUMMYFUNCTION("""COMPUTED_VALUE"""),"")</f>
        <v/>
      </c>
      <c r="E106" s="50"/>
      <c r="F106" s="50"/>
      <c r="G106" s="50"/>
      <c r="H106" s="50" t="s">
        <v>1710</v>
      </c>
      <c r="I106" s="50"/>
      <c r="J106" s="50"/>
      <c r="K106" s="50"/>
      <c r="L106" s="50"/>
      <c r="M106" s="50"/>
      <c r="N106" s="50"/>
      <c r="O106" s="50"/>
      <c r="P106" s="50"/>
      <c r="Q106" s="50"/>
      <c r="R106" s="50"/>
      <c r="S106" s="50"/>
      <c r="T106" s="50"/>
      <c r="U106" s="50"/>
      <c r="V106" s="50" t="s">
        <v>45</v>
      </c>
      <c r="W106" s="50" t="s">
        <v>45</v>
      </c>
      <c r="X106" s="50" t="s">
        <v>45</v>
      </c>
      <c r="Y106" s="50" t="s">
        <v>45</v>
      </c>
      <c r="Z106" s="50" t="s">
        <v>45</v>
      </c>
      <c r="AA106" s="50"/>
      <c r="AB106" s="50"/>
      <c r="AC106" s="50"/>
    </row>
    <row r="107">
      <c r="A107" s="48" t="s">
        <v>2082</v>
      </c>
      <c r="B107" s="49" t="s">
        <v>2083</v>
      </c>
      <c r="C107" s="48" t="s">
        <v>2084</v>
      </c>
      <c r="D107" s="50" t="str">
        <f>IFERROR(__xludf.DUMMYFUNCTION("""COMPUTED_VALUE"""),"Presque Plein 1/3 Tasse")</f>
        <v>Presque Plein 1/3 Tasse</v>
      </c>
      <c r="E107" s="50"/>
      <c r="F107" s="50" t="s">
        <v>2085</v>
      </c>
      <c r="G107" s="50" t="s">
        <v>2085</v>
      </c>
      <c r="H107" s="50" t="s">
        <v>1710</v>
      </c>
      <c r="I107" s="50"/>
      <c r="J107" s="50"/>
      <c r="K107" s="50"/>
      <c r="L107" s="50"/>
      <c r="M107" s="50"/>
      <c r="N107" s="50"/>
      <c r="O107" s="50"/>
      <c r="P107" s="50"/>
      <c r="Q107" s="50"/>
      <c r="R107" s="50"/>
      <c r="S107" s="50"/>
      <c r="T107" s="50"/>
      <c r="U107" s="50"/>
      <c r="V107" s="50" t="s">
        <v>2084</v>
      </c>
      <c r="W107" s="50" t="s">
        <v>45</v>
      </c>
      <c r="X107" s="50" t="s">
        <v>45</v>
      </c>
      <c r="Y107" s="50" t="s">
        <v>45</v>
      </c>
      <c r="Z107" s="50" t="s">
        <v>45</v>
      </c>
      <c r="AA107" s="50"/>
      <c r="AB107" s="50"/>
      <c r="AC107" s="50"/>
    </row>
    <row r="108">
      <c r="A108" s="48" t="s">
        <v>2082</v>
      </c>
      <c r="B108" s="49" t="s">
        <v>2086</v>
      </c>
      <c r="C108" s="48" t="s">
        <v>2087</v>
      </c>
      <c r="D108" s="50" t="str">
        <f>IFERROR(__xludf.DUMMYFUNCTION("""COMPUTED_VALUE"""),"1/3 De Tasse Complète")</f>
        <v>1/3 De Tasse Complète</v>
      </c>
      <c r="E108" s="50"/>
      <c r="F108" s="50" t="s">
        <v>2088</v>
      </c>
      <c r="G108" s="50" t="s">
        <v>2088</v>
      </c>
      <c r="H108" s="50" t="s">
        <v>1710</v>
      </c>
      <c r="I108" s="50"/>
      <c r="J108" s="50"/>
      <c r="K108" s="50"/>
      <c r="L108" s="50"/>
      <c r="M108" s="50"/>
      <c r="N108" s="50"/>
      <c r="O108" s="50"/>
      <c r="P108" s="50"/>
      <c r="Q108" s="50"/>
      <c r="R108" s="50"/>
      <c r="S108" s="50"/>
      <c r="T108" s="50"/>
      <c r="U108" s="50"/>
      <c r="V108" s="50" t="s">
        <v>2087</v>
      </c>
      <c r="W108" s="50" t="s">
        <v>45</v>
      </c>
      <c r="X108" s="50" t="s">
        <v>45</v>
      </c>
      <c r="Y108" s="50" t="s">
        <v>45</v>
      </c>
      <c r="Z108" s="50" t="s">
        <v>45</v>
      </c>
      <c r="AA108" s="50"/>
      <c r="AB108" s="50"/>
      <c r="AC108" s="50"/>
    </row>
    <row r="109">
      <c r="A109" s="48" t="s">
        <v>2082</v>
      </c>
      <c r="B109" s="49" t="s">
        <v>2089</v>
      </c>
      <c r="C109" s="48" t="s">
        <v>2090</v>
      </c>
      <c r="D109" s="50" t="str">
        <f>IFERROR(__xludf.DUMMYFUNCTION("""COMPUTED_VALUE"""),"1/3 Tasse Bombée")</f>
        <v>1/3 Tasse Bombée</v>
      </c>
      <c r="E109" s="50"/>
      <c r="F109" s="50" t="s">
        <v>2091</v>
      </c>
      <c r="G109" s="50" t="s">
        <v>2091</v>
      </c>
      <c r="H109" s="50" t="s">
        <v>1710</v>
      </c>
      <c r="I109" s="50"/>
      <c r="J109" s="50"/>
      <c r="K109" s="50"/>
      <c r="L109" s="50"/>
      <c r="M109" s="50"/>
      <c r="N109" s="50"/>
      <c r="O109" s="50"/>
      <c r="P109" s="50"/>
      <c r="Q109" s="50"/>
      <c r="R109" s="50"/>
      <c r="S109" s="50"/>
      <c r="T109" s="50"/>
      <c r="U109" s="50"/>
      <c r="V109" s="50" t="s">
        <v>2090</v>
      </c>
      <c r="W109" s="50" t="s">
        <v>45</v>
      </c>
      <c r="X109" s="50" t="s">
        <v>45</v>
      </c>
      <c r="Y109" s="50" t="s">
        <v>45</v>
      </c>
      <c r="Z109" s="50" t="s">
        <v>45</v>
      </c>
      <c r="AA109" s="50"/>
      <c r="AB109" s="50"/>
      <c r="AC109" s="50"/>
    </row>
    <row r="110">
      <c r="A110" s="48" t="s">
        <v>2082</v>
      </c>
      <c r="B110" s="49" t="s">
        <v>2092</v>
      </c>
      <c r="C110" s="48" t="s">
        <v>2093</v>
      </c>
      <c r="D110" s="50" t="str">
        <f>IFERROR(__xludf.DUMMYFUNCTION("""COMPUTED_VALUE"""),"2 X Presque Plein 1/3 Tasse")</f>
        <v>2 X Presque Plein 1/3 Tasse</v>
      </c>
      <c r="E110" s="50"/>
      <c r="F110" s="50" t="s">
        <v>2094</v>
      </c>
      <c r="G110" s="50" t="s">
        <v>2094</v>
      </c>
      <c r="H110" s="50" t="s">
        <v>1710</v>
      </c>
      <c r="I110" s="50"/>
      <c r="J110" s="50"/>
      <c r="K110" s="50"/>
      <c r="L110" s="50"/>
      <c r="M110" s="50"/>
      <c r="N110" s="50"/>
      <c r="O110" s="50"/>
      <c r="P110" s="50"/>
      <c r="Q110" s="50"/>
      <c r="R110" s="50"/>
      <c r="S110" s="50"/>
      <c r="T110" s="50"/>
      <c r="U110" s="50"/>
      <c r="V110" s="50" t="s">
        <v>2093</v>
      </c>
      <c r="W110" s="50" t="s">
        <v>45</v>
      </c>
      <c r="X110" s="50" t="s">
        <v>45</v>
      </c>
      <c r="Y110" s="50" t="s">
        <v>45</v>
      </c>
      <c r="Z110" s="50" t="s">
        <v>45</v>
      </c>
      <c r="AA110" s="50"/>
      <c r="AB110" s="50"/>
      <c r="AC110" s="50"/>
    </row>
    <row r="111">
      <c r="A111" s="48" t="s">
        <v>2082</v>
      </c>
      <c r="B111" s="49" t="s">
        <v>2095</v>
      </c>
      <c r="C111" s="48" t="s">
        <v>2096</v>
      </c>
      <c r="D111" s="50" t="str">
        <f>IFERROR(__xludf.DUMMYFUNCTION("""COMPUTED_VALUE"""),"2 X 1/3 Tasse Bombée")</f>
        <v>2 X 1/3 Tasse Bombée</v>
      </c>
      <c r="E111" s="50"/>
      <c r="F111" s="50" t="s">
        <v>2097</v>
      </c>
      <c r="G111" s="50" t="s">
        <v>2097</v>
      </c>
      <c r="H111" s="50" t="s">
        <v>1710</v>
      </c>
      <c r="I111" s="50"/>
      <c r="J111" s="50"/>
      <c r="K111" s="50"/>
      <c r="L111" s="50"/>
      <c r="M111" s="50"/>
      <c r="N111" s="50"/>
      <c r="O111" s="50"/>
      <c r="P111" s="50"/>
      <c r="Q111" s="50"/>
      <c r="R111" s="50"/>
      <c r="S111" s="50"/>
      <c r="T111" s="50"/>
      <c r="U111" s="50"/>
      <c r="V111" s="50" t="s">
        <v>2096</v>
      </c>
      <c r="W111" s="50" t="s">
        <v>45</v>
      </c>
      <c r="X111" s="50" t="s">
        <v>45</v>
      </c>
      <c r="Y111" s="50" t="s">
        <v>45</v>
      </c>
      <c r="Z111" s="50" t="s">
        <v>45</v>
      </c>
      <c r="AA111" s="50"/>
      <c r="AB111" s="50"/>
      <c r="AC111" s="50"/>
    </row>
    <row r="112">
      <c r="A112" s="48" t="s">
        <v>2082</v>
      </c>
      <c r="B112" s="49" t="s">
        <v>2098</v>
      </c>
      <c r="C112" s="48" t="s">
        <v>19</v>
      </c>
      <c r="D112" s="50" t="str">
        <f>IFERROR(__xludf.DUMMYFUNCTION("""COMPUTED_VALUE"""),"Autre")</f>
        <v>Autre</v>
      </c>
      <c r="E112" s="50"/>
      <c r="F112" s="50" t="s">
        <v>1895</v>
      </c>
      <c r="G112" s="50" t="s">
        <v>1895</v>
      </c>
      <c r="H112" s="50" t="s">
        <v>1710</v>
      </c>
      <c r="I112" s="50"/>
      <c r="J112" s="50"/>
      <c r="K112" s="50"/>
      <c r="L112" s="50"/>
      <c r="M112" s="50"/>
      <c r="N112" s="50"/>
      <c r="O112" s="50"/>
      <c r="P112" s="50"/>
      <c r="Q112" s="50"/>
      <c r="R112" s="50"/>
      <c r="S112" s="50"/>
      <c r="T112" s="50"/>
      <c r="U112" s="50"/>
      <c r="V112" s="50" t="s">
        <v>19</v>
      </c>
      <c r="W112" s="50" t="s">
        <v>45</v>
      </c>
      <c r="X112" s="50" t="s">
        <v>45</v>
      </c>
      <c r="Y112" s="50" t="s">
        <v>45</v>
      </c>
      <c r="Z112" s="50" t="s">
        <v>45</v>
      </c>
      <c r="AA112" s="50"/>
      <c r="AB112" s="50" t="s">
        <v>45</v>
      </c>
      <c r="AC112" s="50"/>
    </row>
    <row r="113">
      <c r="A113" s="48"/>
      <c r="B113" s="49"/>
      <c r="C113" s="48"/>
      <c r="D113" s="50" t="str">
        <f>IFERROR(__xludf.DUMMYFUNCTION("""COMPUTED_VALUE"""),"")</f>
        <v/>
      </c>
      <c r="E113" s="50"/>
      <c r="F113" s="50"/>
      <c r="G113" s="50"/>
      <c r="H113" s="50" t="s">
        <v>1710</v>
      </c>
      <c r="I113" s="50"/>
      <c r="J113" s="50"/>
      <c r="K113" s="50"/>
      <c r="L113" s="50"/>
      <c r="M113" s="50"/>
      <c r="N113" s="50"/>
      <c r="O113" s="50"/>
      <c r="P113" s="50"/>
      <c r="Q113" s="50"/>
      <c r="R113" s="50"/>
      <c r="S113" s="50"/>
      <c r="T113" s="50"/>
      <c r="U113" s="50"/>
      <c r="V113" s="50" t="s">
        <v>45</v>
      </c>
      <c r="W113" s="50" t="s">
        <v>45</v>
      </c>
      <c r="X113" s="50" t="s">
        <v>45</v>
      </c>
      <c r="Y113" s="50" t="s">
        <v>45</v>
      </c>
      <c r="Z113" s="50" t="s">
        <v>45</v>
      </c>
      <c r="AA113" s="50"/>
      <c r="AB113" s="50"/>
      <c r="AC113" s="50"/>
    </row>
    <row r="114">
      <c r="A114" s="48" t="s">
        <v>2099</v>
      </c>
      <c r="B114" s="49">
        <v>0.0</v>
      </c>
      <c r="C114" s="48" t="s">
        <v>2100</v>
      </c>
      <c r="D114" s="50" t="str">
        <f>IFERROR(__xludf.DUMMYFUNCTION("""COMPUTED_VALUE"""),"Mort")</f>
        <v>Mort</v>
      </c>
      <c r="E114" s="50"/>
      <c r="F114" s="50" t="s">
        <v>2101</v>
      </c>
      <c r="G114" s="50" t="s">
        <v>2101</v>
      </c>
      <c r="H114" s="50" t="s">
        <v>2102</v>
      </c>
      <c r="I114" s="50"/>
      <c r="J114" s="50"/>
      <c r="K114" s="50"/>
      <c r="L114" s="50"/>
      <c r="M114" s="50"/>
      <c r="N114" s="50"/>
      <c r="O114" s="50"/>
      <c r="P114" s="50"/>
      <c r="Q114" s="50"/>
      <c r="R114" s="50"/>
      <c r="S114" s="50" t="s">
        <v>2103</v>
      </c>
      <c r="T114" s="50"/>
      <c r="U114" s="50"/>
      <c r="V114" s="50" t="s">
        <v>2100</v>
      </c>
      <c r="W114" s="50" t="s">
        <v>2104</v>
      </c>
      <c r="X114" s="50" t="s">
        <v>2105</v>
      </c>
      <c r="Y114" s="50" t="s">
        <v>45</v>
      </c>
      <c r="Z114" s="50" t="s">
        <v>45</v>
      </c>
      <c r="AA114" s="50"/>
      <c r="AB114" s="50"/>
      <c r="AC114" s="50"/>
    </row>
    <row r="115">
      <c r="A115" s="48" t="s">
        <v>2099</v>
      </c>
      <c r="B115" s="49">
        <v>1.0</v>
      </c>
      <c r="C115" s="48" t="s">
        <v>2106</v>
      </c>
      <c r="D115" s="50" t="str">
        <f>IFERROR(__xludf.DUMMYFUNCTION("""COMPUTED_VALUE"""),"Presque Mort")</f>
        <v>Presque Mort</v>
      </c>
      <c r="E115" s="50"/>
      <c r="F115" s="50" t="s">
        <v>2107</v>
      </c>
      <c r="G115" s="50" t="s">
        <v>2107</v>
      </c>
      <c r="H115" s="50" t="s">
        <v>2108</v>
      </c>
      <c r="I115" s="50"/>
      <c r="J115" s="50"/>
      <c r="K115" s="50"/>
      <c r="L115" s="50"/>
      <c r="M115" s="50"/>
      <c r="N115" s="50"/>
      <c r="O115" s="50"/>
      <c r="P115" s="50"/>
      <c r="Q115" s="50"/>
      <c r="R115" s="50"/>
      <c r="S115" s="50" t="s">
        <v>2109</v>
      </c>
      <c r="T115" s="50"/>
      <c r="U115" s="50"/>
      <c r="V115" s="50" t="s">
        <v>2106</v>
      </c>
      <c r="W115" s="50" t="s">
        <v>2104</v>
      </c>
      <c r="X115" s="50" t="s">
        <v>1919</v>
      </c>
      <c r="Y115" s="50" t="s">
        <v>45</v>
      </c>
      <c r="Z115" s="50" t="s">
        <v>45</v>
      </c>
      <c r="AA115" s="50"/>
      <c r="AB115" s="50"/>
      <c r="AC115" s="50"/>
    </row>
    <row r="116">
      <c r="A116" s="48" t="s">
        <v>2099</v>
      </c>
      <c r="B116" s="49">
        <v>2.0</v>
      </c>
      <c r="C116" s="48" t="s">
        <v>2110</v>
      </c>
      <c r="D116" s="50" t="str">
        <f>IFERROR(__xludf.DUMMYFUNCTION("""COMPUTED_VALUE"""),"Vivant, Mais Pas Bon.")</f>
        <v>Vivant, Mais Pas Bon.</v>
      </c>
      <c r="E116" s="50"/>
      <c r="F116" s="50" t="s">
        <v>2111</v>
      </c>
      <c r="G116" s="50" t="s">
        <v>2111</v>
      </c>
      <c r="H116" s="50" t="s">
        <v>2112</v>
      </c>
      <c r="I116" s="50"/>
      <c r="J116" s="50"/>
      <c r="K116" s="50"/>
      <c r="L116" s="50"/>
      <c r="M116" s="50"/>
      <c r="N116" s="50"/>
      <c r="O116" s="50"/>
      <c r="P116" s="50"/>
      <c r="Q116" s="50"/>
      <c r="R116" s="50"/>
      <c r="S116" s="50" t="s">
        <v>2113</v>
      </c>
      <c r="T116" s="50"/>
      <c r="U116" s="50"/>
      <c r="V116" s="50" t="s">
        <v>2114</v>
      </c>
      <c r="W116" s="50" t="s">
        <v>1769</v>
      </c>
      <c r="X116" s="50" t="s">
        <v>2115</v>
      </c>
      <c r="Y116" s="50"/>
      <c r="Z116" s="50"/>
      <c r="AA116" s="50"/>
      <c r="AB116" s="50"/>
      <c r="AC116" s="50"/>
    </row>
    <row r="117">
      <c r="A117" s="48" t="s">
        <v>2099</v>
      </c>
      <c r="B117" s="49">
        <v>3.0</v>
      </c>
      <c r="C117" s="48" t="s">
        <v>2116</v>
      </c>
      <c r="D117" s="50" t="str">
        <f>IFERROR(__xludf.DUMMYFUNCTION("""COMPUTED_VALUE"""),"Vivant. Aucun Problème.")</f>
        <v>Vivant. Aucun Problème.</v>
      </c>
      <c r="E117" s="50"/>
      <c r="F117" s="50" t="s">
        <v>2117</v>
      </c>
      <c r="G117" s="50" t="s">
        <v>2117</v>
      </c>
      <c r="H117" s="50" t="s">
        <v>2118</v>
      </c>
      <c r="I117" s="50"/>
      <c r="J117" s="50"/>
      <c r="K117" s="50"/>
      <c r="L117" s="50"/>
      <c r="M117" s="50"/>
      <c r="N117" s="50"/>
      <c r="O117" s="50"/>
      <c r="P117" s="50"/>
      <c r="Q117" s="50"/>
      <c r="R117" s="50"/>
      <c r="S117" s="50" t="s">
        <v>2119</v>
      </c>
      <c r="T117" s="50"/>
      <c r="U117" s="50"/>
      <c r="V117" s="50" t="s">
        <v>2116</v>
      </c>
      <c r="W117" s="50" t="s">
        <v>1769</v>
      </c>
      <c r="X117" s="50" t="s">
        <v>2120</v>
      </c>
      <c r="Y117" s="50"/>
      <c r="Z117" s="50"/>
      <c r="AA117" s="50" t="s">
        <v>45</v>
      </c>
      <c r="AB117" s="50" t="s">
        <v>45</v>
      </c>
      <c r="AC117" s="50"/>
    </row>
    <row r="118">
      <c r="A118" s="48" t="s">
        <v>2099</v>
      </c>
      <c r="B118" s="49">
        <v>4.0</v>
      </c>
      <c r="C118" s="48" t="s">
        <v>2121</v>
      </c>
      <c r="D118" s="50" t="str">
        <f>IFERROR(__xludf.DUMMYFUNCTION("""COMPUTED_VALUE"""),"Vivant Et Bon !")</f>
        <v>Vivant Et Bon !</v>
      </c>
      <c r="E118" s="50"/>
      <c r="F118" s="50" t="s">
        <v>2122</v>
      </c>
      <c r="G118" s="50" t="s">
        <v>2122</v>
      </c>
      <c r="H118" s="50" t="s">
        <v>2123</v>
      </c>
      <c r="I118" s="50"/>
      <c r="J118" s="50"/>
      <c r="K118" s="50"/>
      <c r="L118" s="50"/>
      <c r="M118" s="50"/>
      <c r="N118" s="50"/>
      <c r="O118" s="50"/>
      <c r="P118" s="50"/>
      <c r="Q118" s="50"/>
      <c r="R118" s="50"/>
      <c r="S118" s="50" t="s">
        <v>2124</v>
      </c>
      <c r="T118" s="50"/>
      <c r="U118" s="50"/>
      <c r="V118" s="50" t="s">
        <v>2121</v>
      </c>
      <c r="W118" s="50" t="s">
        <v>1769</v>
      </c>
      <c r="X118" s="50" t="s">
        <v>2125</v>
      </c>
      <c r="Y118" s="50" t="s">
        <v>2126</v>
      </c>
      <c r="Z118" s="50" t="s">
        <v>45</v>
      </c>
      <c r="AA118" s="50"/>
      <c r="AB118" s="50"/>
      <c r="AC118" s="50"/>
    </row>
    <row r="119">
      <c r="A119" s="48"/>
      <c r="B119" s="49"/>
      <c r="C119" s="48"/>
      <c r="D119" s="50" t="str">
        <f>IFERROR(__xludf.DUMMYFUNCTION("""COMPUTED_VALUE"""),"")</f>
        <v/>
      </c>
      <c r="E119" s="50"/>
      <c r="F119" s="50"/>
      <c r="G119" s="50"/>
      <c r="H119" s="50" t="s">
        <v>1710</v>
      </c>
      <c r="I119" s="50"/>
      <c r="J119" s="50"/>
      <c r="K119" s="50"/>
      <c r="L119" s="50"/>
      <c r="M119" s="50"/>
      <c r="N119" s="50"/>
      <c r="O119" s="50"/>
      <c r="P119" s="50"/>
      <c r="Q119" s="50"/>
      <c r="R119" s="50"/>
      <c r="S119" s="50"/>
      <c r="T119" s="50"/>
      <c r="U119" s="50"/>
      <c r="V119" s="50" t="s">
        <v>45</v>
      </c>
      <c r="W119" s="50" t="s">
        <v>45</v>
      </c>
      <c r="X119" s="50" t="s">
        <v>45</v>
      </c>
      <c r="Y119" s="50" t="s">
        <v>45</v>
      </c>
      <c r="Z119" s="50" t="s">
        <v>45</v>
      </c>
      <c r="AA119" s="50"/>
      <c r="AB119" s="50" t="s">
        <v>45</v>
      </c>
      <c r="AC119" s="50"/>
    </row>
    <row r="120">
      <c r="A120" s="48" t="s">
        <v>2127</v>
      </c>
      <c r="B120" s="49">
        <v>1.0</v>
      </c>
      <c r="C120" s="48" t="s">
        <v>2128</v>
      </c>
      <c r="D120" s="50" t="str">
        <f>IFERROR(__xludf.DUMMYFUNCTION("""COMPUTED_VALUE"""),"1 - Ombre Complète")</f>
        <v>1 - Ombre Complète</v>
      </c>
      <c r="E120" s="50"/>
      <c r="F120" s="50" t="s">
        <v>2129</v>
      </c>
      <c r="G120" s="50" t="s">
        <v>2129</v>
      </c>
      <c r="H120" s="50" t="s">
        <v>2130</v>
      </c>
      <c r="I120" s="50"/>
      <c r="J120" s="50"/>
      <c r="K120" s="50"/>
      <c r="L120" s="50"/>
      <c r="M120" s="50"/>
      <c r="N120" s="50"/>
      <c r="O120" s="50"/>
      <c r="P120" s="50"/>
      <c r="Q120" s="50"/>
      <c r="R120" s="50"/>
      <c r="S120" s="50"/>
      <c r="T120" s="50"/>
      <c r="U120" s="50"/>
      <c r="V120" s="50" t="s">
        <v>2128</v>
      </c>
      <c r="W120" s="50" t="s">
        <v>2061</v>
      </c>
      <c r="X120" s="50" t="s">
        <v>2061</v>
      </c>
      <c r="Y120" s="50" t="s">
        <v>2061</v>
      </c>
      <c r="Z120" s="50" t="s">
        <v>45</v>
      </c>
      <c r="AA120" s="50"/>
      <c r="AB120" s="50"/>
      <c r="AC120" s="50"/>
    </row>
    <row r="121">
      <c r="A121" s="48" t="s">
        <v>2127</v>
      </c>
      <c r="B121" s="49">
        <v>2.0</v>
      </c>
      <c r="C121" s="48" t="s">
        <v>2131</v>
      </c>
      <c r="D121" s="50" t="str">
        <f>IFERROR(__xludf.DUMMYFUNCTION("""COMPUTED_VALUE"""),"2 - Principalement De L'Ombre, Un Peu De Soleil")</f>
        <v>2 - Principalement De L'Ombre, Un Peu De Soleil</v>
      </c>
      <c r="E121" s="50"/>
      <c r="F121" s="50" t="s">
        <v>2132</v>
      </c>
      <c r="G121" s="50" t="s">
        <v>2132</v>
      </c>
      <c r="H121" s="50" t="s">
        <v>2133</v>
      </c>
      <c r="I121" s="50"/>
      <c r="J121" s="50"/>
      <c r="K121" s="50"/>
      <c r="L121" s="50"/>
      <c r="M121" s="50"/>
      <c r="N121" s="50"/>
      <c r="O121" s="50"/>
      <c r="P121" s="50"/>
      <c r="Q121" s="50"/>
      <c r="R121" s="50"/>
      <c r="S121" s="50"/>
      <c r="T121" s="50"/>
      <c r="U121" s="50"/>
      <c r="V121" s="50" t="s">
        <v>2134</v>
      </c>
      <c r="W121" s="50" t="s">
        <v>2061</v>
      </c>
      <c r="X121" s="50" t="s">
        <v>2061</v>
      </c>
      <c r="Y121" s="50" t="s">
        <v>1782</v>
      </c>
      <c r="Z121" s="50"/>
      <c r="AA121" s="50"/>
      <c r="AB121" s="50"/>
      <c r="AC121" s="50"/>
    </row>
    <row r="122">
      <c r="A122" s="48" t="s">
        <v>2127</v>
      </c>
      <c r="B122" s="49">
        <v>3.0</v>
      </c>
      <c r="C122" s="48" t="s">
        <v>2135</v>
      </c>
      <c r="D122" s="50" t="str">
        <f>IFERROR(__xludf.DUMMYFUNCTION("""COMPUTED_VALUE"""),"3 Mélanges De Soleil Et D'Ombre")</f>
        <v>3 Mélanges De Soleil Et D'Ombre</v>
      </c>
      <c r="E122" s="50"/>
      <c r="F122" s="50" t="s">
        <v>2136</v>
      </c>
      <c r="G122" s="50" t="s">
        <v>2136</v>
      </c>
      <c r="H122" s="50" t="s">
        <v>2137</v>
      </c>
      <c r="I122" s="50"/>
      <c r="J122" s="50"/>
      <c r="K122" s="50"/>
      <c r="L122" s="50"/>
      <c r="M122" s="50"/>
      <c r="N122" s="50"/>
      <c r="O122" s="50"/>
      <c r="P122" s="50"/>
      <c r="Q122" s="50"/>
      <c r="R122" s="50"/>
      <c r="S122" s="50"/>
      <c r="T122" s="50"/>
      <c r="U122" s="50"/>
      <c r="V122" s="50" t="s">
        <v>2135</v>
      </c>
      <c r="W122" s="50" t="s">
        <v>2061</v>
      </c>
      <c r="X122" s="50" t="s">
        <v>1782</v>
      </c>
      <c r="Y122" s="50"/>
      <c r="Z122" s="50"/>
      <c r="AA122" s="50" t="s">
        <v>45</v>
      </c>
      <c r="AB122" s="50"/>
      <c r="AC122" s="50"/>
    </row>
    <row r="123">
      <c r="A123" s="48" t="s">
        <v>2127</v>
      </c>
      <c r="B123" s="49">
        <v>4.0</v>
      </c>
      <c r="C123" s="48" t="s">
        <v>2138</v>
      </c>
      <c r="D123" s="50" t="str">
        <f>IFERROR(__xludf.DUMMYFUNCTION("""COMPUTED_VALUE"""),"4 Principalement Du Soleil, Un Peu D'Ombre/Protection")</f>
        <v>4 Principalement Du Soleil, Un Peu D'Ombre/Protection</v>
      </c>
      <c r="E123" s="50"/>
      <c r="F123" s="50" t="s">
        <v>2139</v>
      </c>
      <c r="G123" s="50" t="s">
        <v>2139</v>
      </c>
      <c r="H123" s="50" t="s">
        <v>2140</v>
      </c>
      <c r="I123" s="50"/>
      <c r="J123" s="50"/>
      <c r="K123" s="50"/>
      <c r="L123" s="50"/>
      <c r="M123" s="50"/>
      <c r="N123" s="50"/>
      <c r="O123" s="50"/>
      <c r="P123" s="50"/>
      <c r="Q123" s="50"/>
      <c r="R123" s="50"/>
      <c r="S123" s="50"/>
      <c r="T123" s="50"/>
      <c r="U123" s="50"/>
      <c r="V123" s="50" t="s">
        <v>2141</v>
      </c>
      <c r="W123" s="50" t="s">
        <v>1782</v>
      </c>
      <c r="X123" s="50" t="s">
        <v>1782</v>
      </c>
      <c r="Y123" s="50" t="s">
        <v>2061</v>
      </c>
      <c r="Z123" s="50"/>
      <c r="AA123" s="50"/>
      <c r="AB123" s="50"/>
      <c r="AC123" s="50"/>
    </row>
    <row r="124">
      <c r="A124" s="48" t="s">
        <v>2127</v>
      </c>
      <c r="B124" s="49">
        <v>5.0</v>
      </c>
      <c r="C124" s="48" t="s">
        <v>2142</v>
      </c>
      <c r="D124" s="50" t="str">
        <f>IFERROR(__xludf.DUMMYFUNCTION("""COMPUTED_VALUE"""),"5 - Plein Soleil")</f>
        <v>5 - Plein Soleil</v>
      </c>
      <c r="E124" s="50"/>
      <c r="F124" s="50" t="s">
        <v>2143</v>
      </c>
      <c r="G124" s="50" t="s">
        <v>2143</v>
      </c>
      <c r="H124" s="50" t="s">
        <v>2144</v>
      </c>
      <c r="I124" s="50"/>
      <c r="J124" s="50"/>
      <c r="K124" s="50"/>
      <c r="L124" s="50"/>
      <c r="M124" s="50"/>
      <c r="N124" s="50"/>
      <c r="O124" s="50"/>
      <c r="P124" s="50"/>
      <c r="Q124" s="50"/>
      <c r="R124" s="50"/>
      <c r="S124" s="50"/>
      <c r="T124" s="50"/>
      <c r="U124" s="50"/>
      <c r="V124" s="50" t="s">
        <v>2142</v>
      </c>
      <c r="W124" s="50" t="s">
        <v>1782</v>
      </c>
      <c r="X124" s="50" t="s">
        <v>1782</v>
      </c>
      <c r="Y124" s="50" t="s">
        <v>1782</v>
      </c>
      <c r="Z124" s="50" t="s">
        <v>45</v>
      </c>
      <c r="AA124" s="50"/>
      <c r="AB124" s="50"/>
      <c r="AC124" s="50"/>
    </row>
    <row r="125">
      <c r="A125" s="48"/>
      <c r="B125" s="49"/>
      <c r="C125" s="48"/>
      <c r="D125" s="50" t="str">
        <f>IFERROR(__xludf.DUMMYFUNCTION("""COMPUTED_VALUE"""),"")</f>
        <v/>
      </c>
      <c r="E125" s="50"/>
      <c r="F125" s="50"/>
      <c r="G125" s="50"/>
      <c r="H125" s="50" t="s">
        <v>1710</v>
      </c>
      <c r="I125" s="50"/>
      <c r="J125" s="50"/>
      <c r="K125" s="50"/>
      <c r="L125" s="50"/>
      <c r="M125" s="50"/>
      <c r="N125" s="50"/>
      <c r="O125" s="50"/>
      <c r="P125" s="50"/>
      <c r="Q125" s="50"/>
      <c r="R125" s="50"/>
      <c r="S125" s="50"/>
      <c r="T125" s="50"/>
      <c r="U125" s="50"/>
      <c r="V125" s="50" t="s">
        <v>45</v>
      </c>
      <c r="W125" s="50" t="s">
        <v>45</v>
      </c>
      <c r="X125" s="50" t="s">
        <v>45</v>
      </c>
      <c r="Y125" s="50" t="s">
        <v>45</v>
      </c>
      <c r="Z125" s="50" t="s">
        <v>45</v>
      </c>
      <c r="AA125" s="50"/>
      <c r="AB125" s="50"/>
      <c r="AC125" s="50"/>
    </row>
    <row r="126">
      <c r="A126" s="48" t="s">
        <v>2145</v>
      </c>
      <c r="B126" s="49" t="s">
        <v>2146</v>
      </c>
      <c r="C126" s="48" t="s">
        <v>2147</v>
      </c>
      <c r="D126" s="50" t="str">
        <f>IFERROR(__xludf.DUMMYFUNCTION("""COMPUTED_VALUE"""),"Dommages Au Greffon")</f>
        <v>Dommages Au Greffon</v>
      </c>
      <c r="E126" s="50"/>
      <c r="F126" s="50" t="s">
        <v>2148</v>
      </c>
      <c r="G126" s="50" t="s">
        <v>2148</v>
      </c>
      <c r="H126" s="50" t="s">
        <v>2149</v>
      </c>
      <c r="I126" s="50"/>
      <c r="J126" s="50"/>
      <c r="K126" s="50"/>
      <c r="L126" s="50"/>
      <c r="M126" s="50"/>
      <c r="N126" s="50"/>
      <c r="O126" s="50"/>
      <c r="P126" s="50"/>
      <c r="Q126" s="50"/>
      <c r="R126" s="50"/>
      <c r="S126" s="50" t="s">
        <v>2150</v>
      </c>
      <c r="T126" s="50"/>
      <c r="U126" s="50"/>
      <c r="V126" s="50" t="s">
        <v>2147</v>
      </c>
      <c r="W126" s="50" t="s">
        <v>2151</v>
      </c>
      <c r="X126" s="50" t="s">
        <v>1775</v>
      </c>
      <c r="Y126" s="50" t="s">
        <v>1796</v>
      </c>
      <c r="Z126" s="50" t="s">
        <v>45</v>
      </c>
      <c r="AA126" s="50"/>
      <c r="AB126" s="50"/>
      <c r="AC126" s="50"/>
    </row>
    <row r="127">
      <c r="A127" s="48" t="s">
        <v>2145</v>
      </c>
      <c r="B127" s="49" t="s">
        <v>2152</v>
      </c>
      <c r="C127" s="48" t="s">
        <v>2153</v>
      </c>
      <c r="D127" s="50" t="str">
        <f>IFERROR(__xludf.DUMMYFUNCTION("""COMPUTED_VALUE"""),"Feuilles Tristes")</f>
        <v>Feuilles Tristes</v>
      </c>
      <c r="E127" s="50"/>
      <c r="F127" s="50" t="s">
        <v>2154</v>
      </c>
      <c r="G127" s="50" t="s">
        <v>2154</v>
      </c>
      <c r="H127" s="50" t="s">
        <v>2155</v>
      </c>
      <c r="I127" s="50"/>
      <c r="J127" s="50"/>
      <c r="K127" s="50"/>
      <c r="L127" s="50"/>
      <c r="M127" s="50"/>
      <c r="N127" s="50"/>
      <c r="O127" s="50"/>
      <c r="P127" s="50"/>
      <c r="Q127" s="50"/>
      <c r="R127" s="50"/>
      <c r="S127" s="50" t="s">
        <v>2156</v>
      </c>
      <c r="T127" s="50"/>
      <c r="U127" s="50"/>
      <c r="V127" s="50" t="s">
        <v>2153</v>
      </c>
      <c r="W127" s="50" t="s">
        <v>2157</v>
      </c>
      <c r="X127" s="50" t="s">
        <v>45</v>
      </c>
      <c r="Y127" s="50" t="s">
        <v>45</v>
      </c>
      <c r="Z127" s="50" t="s">
        <v>45</v>
      </c>
      <c r="AA127" s="50"/>
      <c r="AB127" s="50"/>
      <c r="AC127" s="50"/>
    </row>
    <row r="128">
      <c r="A128" s="48" t="s">
        <v>2145</v>
      </c>
      <c r="B128" s="49" t="s">
        <v>2158</v>
      </c>
      <c r="C128" s="48" t="s">
        <v>2159</v>
      </c>
      <c r="D128" s="50" t="str">
        <f>IFERROR(__xludf.DUMMYFUNCTION("""COMPUTED_VALUE"""),"Feuilles Perdues")</f>
        <v>Feuilles Perdues</v>
      </c>
      <c r="E128" s="50"/>
      <c r="F128" s="50" t="s">
        <v>2160</v>
      </c>
      <c r="G128" s="50" t="s">
        <v>2160</v>
      </c>
      <c r="H128" s="50" t="s">
        <v>2161</v>
      </c>
      <c r="I128" s="50"/>
      <c r="J128" s="50"/>
      <c r="K128" s="50"/>
      <c r="L128" s="50"/>
      <c r="M128" s="50"/>
      <c r="N128" s="50"/>
      <c r="O128" s="50"/>
      <c r="P128" s="50"/>
      <c r="Q128" s="50"/>
      <c r="R128" s="50"/>
      <c r="S128" s="50" t="s">
        <v>2162</v>
      </c>
      <c r="T128" s="50"/>
      <c r="U128" s="50"/>
      <c r="V128" s="50" t="s">
        <v>2159</v>
      </c>
      <c r="W128" s="50" t="s">
        <v>1874</v>
      </c>
      <c r="X128" s="50" t="s">
        <v>45</v>
      </c>
      <c r="Y128" s="50" t="s">
        <v>45</v>
      </c>
      <c r="Z128" s="50" t="s">
        <v>45</v>
      </c>
      <c r="AA128" s="50"/>
      <c r="AB128" s="50"/>
      <c r="AC128" s="50"/>
    </row>
    <row r="129">
      <c r="A129" s="48" t="s">
        <v>2145</v>
      </c>
      <c r="B129" s="49" t="s">
        <v>2163</v>
      </c>
      <c r="C129" s="48" t="s">
        <v>2164</v>
      </c>
      <c r="D129" s="50" t="str">
        <f>IFERROR(__xludf.DUMMYFUNCTION("""COMPUTED_VALUE"""),"Feuilles Mangées")</f>
        <v>Feuilles Mangées</v>
      </c>
      <c r="E129" s="50"/>
      <c r="F129" s="50" t="s">
        <v>2165</v>
      </c>
      <c r="G129" s="50" t="s">
        <v>2165</v>
      </c>
      <c r="H129" s="50" t="s">
        <v>2166</v>
      </c>
      <c r="I129" s="50"/>
      <c r="J129" s="50"/>
      <c r="K129" s="50"/>
      <c r="L129" s="50"/>
      <c r="M129" s="50"/>
      <c r="N129" s="50"/>
      <c r="O129" s="50"/>
      <c r="P129" s="50"/>
      <c r="Q129" s="50"/>
      <c r="R129" s="50"/>
      <c r="S129" s="50" t="s">
        <v>2167</v>
      </c>
      <c r="T129" s="50"/>
      <c r="U129" s="50"/>
      <c r="V129" s="50" t="s">
        <v>2164</v>
      </c>
      <c r="W129" s="50" t="s">
        <v>2053</v>
      </c>
      <c r="X129" s="50" t="s">
        <v>2168</v>
      </c>
      <c r="Y129" s="50" t="s">
        <v>2169</v>
      </c>
      <c r="Z129" s="50"/>
      <c r="AA129" s="50"/>
      <c r="AB129" s="50"/>
      <c r="AC129" s="50"/>
    </row>
    <row r="130">
      <c r="A130" s="48" t="s">
        <v>2145</v>
      </c>
      <c r="B130" s="49" t="s">
        <v>2170</v>
      </c>
      <c r="C130" s="48" t="s">
        <v>2171</v>
      </c>
      <c r="D130" s="50" t="str">
        <f>IFERROR(__xludf.DUMMYFUNCTION("""COMPUTED_VALUE"""),"Feuilles Décolorées")</f>
        <v>Feuilles Décolorées</v>
      </c>
      <c r="E130" s="50"/>
      <c r="F130" s="50" t="s">
        <v>2172</v>
      </c>
      <c r="G130" s="50" t="s">
        <v>2172</v>
      </c>
      <c r="H130" s="50" t="s">
        <v>2173</v>
      </c>
      <c r="I130" s="50"/>
      <c r="J130" s="50"/>
      <c r="K130" s="50"/>
      <c r="L130" s="50"/>
      <c r="M130" s="50"/>
      <c r="N130" s="50"/>
      <c r="O130" s="50"/>
      <c r="P130" s="50"/>
      <c r="Q130" s="50"/>
      <c r="R130" s="50"/>
      <c r="S130" s="50"/>
      <c r="T130" s="50"/>
      <c r="U130" s="50"/>
      <c r="V130" s="50" t="s">
        <v>2171</v>
      </c>
      <c r="W130" s="50" t="s">
        <v>2174</v>
      </c>
      <c r="X130" s="50" t="s">
        <v>45</v>
      </c>
      <c r="Y130" s="50" t="s">
        <v>45</v>
      </c>
      <c r="Z130" s="50" t="s">
        <v>45</v>
      </c>
      <c r="AA130" s="50"/>
      <c r="AB130" s="50"/>
      <c r="AC130" s="50"/>
    </row>
    <row r="131">
      <c r="A131" s="48" t="s">
        <v>2145</v>
      </c>
      <c r="B131" s="49" t="s">
        <v>2175</v>
      </c>
      <c r="C131" s="48" t="s">
        <v>2176</v>
      </c>
      <c r="D131" s="50" t="str">
        <f>IFERROR(__xludf.DUMMYFUNCTION("""COMPUTED_VALUE"""),"Croissance Retardée")</f>
        <v>Croissance Retardée</v>
      </c>
      <c r="E131" s="50"/>
      <c r="F131" s="50" t="s">
        <v>2177</v>
      </c>
      <c r="G131" s="50" t="s">
        <v>2177</v>
      </c>
      <c r="H131" s="50" t="s">
        <v>1710</v>
      </c>
      <c r="I131" s="50"/>
      <c r="J131" s="50"/>
      <c r="K131" s="50"/>
      <c r="L131" s="50"/>
      <c r="M131" s="50"/>
      <c r="N131" s="50"/>
      <c r="O131" s="50"/>
      <c r="P131" s="50"/>
      <c r="Q131" s="50"/>
      <c r="R131" s="50"/>
      <c r="S131" s="50"/>
      <c r="T131" s="50"/>
      <c r="U131" s="50"/>
      <c r="V131" s="50" t="s">
        <v>2176</v>
      </c>
      <c r="W131" s="50" t="s">
        <v>45</v>
      </c>
      <c r="X131" s="50" t="s">
        <v>45</v>
      </c>
      <c r="Y131" s="50" t="s">
        <v>45</v>
      </c>
      <c r="Z131" s="50" t="s">
        <v>45</v>
      </c>
      <c r="AA131" s="50"/>
      <c r="AB131" s="50"/>
      <c r="AC131" s="50"/>
    </row>
    <row r="132">
      <c r="A132" s="48" t="s">
        <v>2145</v>
      </c>
      <c r="B132" s="49" t="s">
        <v>2178</v>
      </c>
      <c r="C132" s="48" t="s">
        <v>2179</v>
      </c>
      <c r="D132" s="50" t="str">
        <f>IFERROR(__xludf.DUMMYFUNCTION("""COMPUTED_VALUE"""),"Cassé")</f>
        <v>Cassé</v>
      </c>
      <c r="E132" s="50"/>
      <c r="F132" s="50" t="s">
        <v>2180</v>
      </c>
      <c r="G132" s="50" t="s">
        <v>2180</v>
      </c>
      <c r="H132" s="50" t="s">
        <v>2181</v>
      </c>
      <c r="I132" s="50"/>
      <c r="J132" s="50"/>
      <c r="K132" s="50"/>
      <c r="L132" s="50"/>
      <c r="M132" s="50"/>
      <c r="N132" s="50"/>
      <c r="O132" s="50"/>
      <c r="P132" s="50"/>
      <c r="Q132" s="50"/>
      <c r="R132" s="50"/>
      <c r="S132" s="50" t="s">
        <v>2182</v>
      </c>
      <c r="T132" s="50"/>
      <c r="U132" s="50"/>
      <c r="V132" s="50" t="s">
        <v>2179</v>
      </c>
      <c r="W132" s="50" t="s">
        <v>2183</v>
      </c>
      <c r="X132" s="50" t="s">
        <v>45</v>
      </c>
      <c r="Y132" s="50" t="s">
        <v>45</v>
      </c>
      <c r="Z132" s="50" t="s">
        <v>45</v>
      </c>
      <c r="AA132" s="50"/>
      <c r="AB132" s="50"/>
      <c r="AC132" s="50"/>
    </row>
    <row r="133">
      <c r="A133" s="48" t="s">
        <v>2145</v>
      </c>
      <c r="B133" s="49" t="s">
        <v>2184</v>
      </c>
      <c r="C133" s="48" t="s">
        <v>2185</v>
      </c>
      <c r="D133" s="50" t="str">
        <f>IFERROR(__xludf.DUMMYFUNCTION("""COMPUTED_VALUE"""),"Brûlé")</f>
        <v>Brûlé</v>
      </c>
      <c r="E133" s="50"/>
      <c r="F133" s="50" t="s">
        <v>2186</v>
      </c>
      <c r="G133" s="50" t="s">
        <v>2186</v>
      </c>
      <c r="H133" s="50" t="s">
        <v>2187</v>
      </c>
      <c r="I133" s="50"/>
      <c r="J133" s="50"/>
      <c r="K133" s="50"/>
      <c r="L133" s="50"/>
      <c r="M133" s="50"/>
      <c r="N133" s="50"/>
      <c r="O133" s="50"/>
      <c r="P133" s="50"/>
      <c r="Q133" s="50"/>
      <c r="R133" s="50"/>
      <c r="S133" s="50" t="s">
        <v>2188</v>
      </c>
      <c r="T133" s="50"/>
      <c r="U133" s="50"/>
      <c r="V133" s="50" t="s">
        <v>2185</v>
      </c>
      <c r="W133" s="50" t="s">
        <v>1846</v>
      </c>
      <c r="X133" s="50" t="s">
        <v>1834</v>
      </c>
      <c r="Y133" s="50" t="s">
        <v>45</v>
      </c>
      <c r="Z133" s="50" t="s">
        <v>45</v>
      </c>
      <c r="AA133" s="50"/>
      <c r="AB133" s="50"/>
      <c r="AC133" s="50"/>
    </row>
    <row r="134">
      <c r="A134" s="48" t="s">
        <v>2145</v>
      </c>
      <c r="B134" s="49" t="s">
        <v>2189</v>
      </c>
      <c r="C134" s="48" t="s">
        <v>2190</v>
      </c>
      <c r="D134" s="50" t="str">
        <f>IFERROR(__xludf.DUMMYFUNCTION("""COMPUTED_VALUE"""),"Insecte")</f>
        <v>Insecte</v>
      </c>
      <c r="E134" s="50"/>
      <c r="F134" s="50" t="s">
        <v>2191</v>
      </c>
      <c r="G134" s="50" t="s">
        <v>2191</v>
      </c>
      <c r="H134" s="50" t="s">
        <v>2192</v>
      </c>
      <c r="I134" s="50"/>
      <c r="J134" s="50"/>
      <c r="K134" s="50"/>
      <c r="L134" s="50"/>
      <c r="M134" s="50"/>
      <c r="N134" s="50"/>
      <c r="O134" s="50"/>
      <c r="P134" s="50"/>
      <c r="Q134" s="50"/>
      <c r="R134" s="50"/>
      <c r="S134" s="50" t="s">
        <v>2193</v>
      </c>
      <c r="T134" s="50"/>
      <c r="U134" s="50"/>
      <c r="V134" s="50" t="s">
        <v>2190</v>
      </c>
      <c r="W134" s="50" t="s">
        <v>2194</v>
      </c>
      <c r="X134" s="50" t="s">
        <v>45</v>
      </c>
      <c r="Y134" s="50" t="s">
        <v>45</v>
      </c>
      <c r="Z134" s="50" t="s">
        <v>45</v>
      </c>
      <c r="AA134" s="50"/>
      <c r="AB134" s="50"/>
      <c r="AC134" s="50"/>
    </row>
    <row r="135">
      <c r="A135" s="48" t="s">
        <v>2145</v>
      </c>
      <c r="B135" s="49" t="s">
        <v>2195</v>
      </c>
      <c r="C135" s="48" t="s">
        <v>2196</v>
      </c>
      <c r="D135" s="50" t="str">
        <f>IFERROR(__xludf.DUMMYFUNCTION("""COMPUTED_VALUE"""),"Malade")</f>
        <v>Malade</v>
      </c>
      <c r="E135" s="50"/>
      <c r="F135" s="50" t="s">
        <v>2197</v>
      </c>
      <c r="G135" s="50" t="s">
        <v>2197</v>
      </c>
      <c r="H135" s="50" t="s">
        <v>2198</v>
      </c>
      <c r="I135" s="50"/>
      <c r="J135" s="50"/>
      <c r="K135" s="50"/>
      <c r="L135" s="50"/>
      <c r="M135" s="50"/>
      <c r="N135" s="50"/>
      <c r="O135" s="50"/>
      <c r="P135" s="50"/>
      <c r="Q135" s="50"/>
      <c r="R135" s="50"/>
      <c r="S135" s="50" t="s">
        <v>2199</v>
      </c>
      <c r="T135" s="50"/>
      <c r="U135" s="50"/>
      <c r="V135" s="50" t="s">
        <v>2196</v>
      </c>
      <c r="W135" s="50" t="s">
        <v>2200</v>
      </c>
      <c r="X135" s="50" t="s">
        <v>2201</v>
      </c>
      <c r="Y135" s="50" t="s">
        <v>45</v>
      </c>
      <c r="Z135" s="50" t="s">
        <v>45</v>
      </c>
      <c r="AA135" s="50"/>
      <c r="AB135" s="50"/>
      <c r="AC135" s="50"/>
    </row>
    <row r="136">
      <c r="A136" s="48" t="s">
        <v>2145</v>
      </c>
      <c r="B136" s="49" t="s">
        <v>2202</v>
      </c>
      <c r="C136" s="48" t="s">
        <v>2203</v>
      </c>
      <c r="D136" s="50" t="str">
        <f>IFERROR(__xludf.DUMMYFUNCTION("""COMPUTED_VALUE"""),"Pourri")</f>
        <v>Pourri</v>
      </c>
      <c r="E136" s="50"/>
      <c r="F136" s="50" t="s">
        <v>2204</v>
      </c>
      <c r="G136" s="50" t="s">
        <v>2204</v>
      </c>
      <c r="H136" s="50" t="s">
        <v>1710</v>
      </c>
      <c r="I136" s="50"/>
      <c r="J136" s="50"/>
      <c r="K136" s="50"/>
      <c r="L136" s="50"/>
      <c r="M136" s="50"/>
      <c r="N136" s="50"/>
      <c r="O136" s="50"/>
      <c r="P136" s="50"/>
      <c r="Q136" s="50"/>
      <c r="R136" s="50"/>
      <c r="S136" s="50" t="s">
        <v>2205</v>
      </c>
      <c r="T136" s="50"/>
      <c r="U136" s="50"/>
      <c r="V136" s="50" t="s">
        <v>2203</v>
      </c>
      <c r="W136" s="50" t="s">
        <v>45</v>
      </c>
      <c r="X136" s="50" t="s">
        <v>45</v>
      </c>
      <c r="Y136" s="50" t="s">
        <v>45</v>
      </c>
      <c r="Z136" s="50" t="s">
        <v>45</v>
      </c>
      <c r="AA136" s="50"/>
      <c r="AB136" s="50"/>
      <c r="AC136" s="50"/>
    </row>
    <row r="137">
      <c r="A137" s="48" t="s">
        <v>2145</v>
      </c>
      <c r="B137" s="49" t="s">
        <v>1997</v>
      </c>
      <c r="C137" s="48" t="s">
        <v>1998</v>
      </c>
      <c r="D137" s="50" t="str">
        <f>IFERROR(__xludf.DUMMYFUNCTION("""COMPUTED_VALUE"""),"Aboyer")</f>
        <v>Aboyer</v>
      </c>
      <c r="E137" s="50"/>
      <c r="F137" s="50" t="s">
        <v>2206</v>
      </c>
      <c r="G137" s="50" t="s">
        <v>2206</v>
      </c>
      <c r="H137" s="50" t="s">
        <v>1710</v>
      </c>
      <c r="I137" s="50"/>
      <c r="J137" s="50"/>
      <c r="K137" s="50"/>
      <c r="L137" s="50"/>
      <c r="M137" s="50"/>
      <c r="N137" s="50"/>
      <c r="O137" s="50"/>
      <c r="P137" s="50"/>
      <c r="Q137" s="50"/>
      <c r="R137" s="50"/>
      <c r="S137" s="50"/>
      <c r="T137" s="50"/>
      <c r="U137" s="50"/>
      <c r="V137" s="50" t="s">
        <v>1998</v>
      </c>
      <c r="W137" s="50" t="s">
        <v>45</v>
      </c>
      <c r="X137" s="50" t="s">
        <v>45</v>
      </c>
      <c r="Y137" s="50" t="s">
        <v>45</v>
      </c>
      <c r="Z137" s="50" t="s">
        <v>45</v>
      </c>
      <c r="AA137" s="50"/>
      <c r="AB137" s="50"/>
      <c r="AC137" s="50"/>
    </row>
    <row r="138">
      <c r="A138" s="48" t="s">
        <v>2145</v>
      </c>
      <c r="B138" s="49" t="s">
        <v>2207</v>
      </c>
      <c r="C138" s="48" t="s">
        <v>2208</v>
      </c>
      <c r="D138" s="50" t="str">
        <f>IFERROR(__xludf.DUMMYFUNCTION("""COMPUTED_VALUE"""),"Racines Exposées")</f>
        <v>Racines Exposées</v>
      </c>
      <c r="E138" s="50"/>
      <c r="F138" s="50" t="s">
        <v>2209</v>
      </c>
      <c r="G138" s="50" t="s">
        <v>2209</v>
      </c>
      <c r="H138" s="50" t="s">
        <v>1710</v>
      </c>
      <c r="I138" s="50"/>
      <c r="J138" s="50"/>
      <c r="K138" s="50"/>
      <c r="L138" s="50"/>
      <c r="M138" s="50"/>
      <c r="N138" s="50"/>
      <c r="O138" s="50"/>
      <c r="P138" s="50"/>
      <c r="Q138" s="50"/>
      <c r="R138" s="50"/>
      <c r="S138" s="50"/>
      <c r="T138" s="50"/>
      <c r="U138" s="50"/>
      <c r="V138" s="50" t="s">
        <v>2208</v>
      </c>
      <c r="W138" s="50" t="s">
        <v>45</v>
      </c>
      <c r="X138" s="50" t="s">
        <v>45</v>
      </c>
      <c r="Y138" s="50" t="s">
        <v>45</v>
      </c>
      <c r="Z138" s="50" t="s">
        <v>45</v>
      </c>
      <c r="AA138" s="50"/>
      <c r="AB138" s="50"/>
      <c r="AC138" s="50"/>
    </row>
    <row r="139">
      <c r="A139" s="48" t="s">
        <v>2145</v>
      </c>
      <c r="B139" s="49" t="s">
        <v>2210</v>
      </c>
      <c r="C139" s="48" t="s">
        <v>19</v>
      </c>
      <c r="D139" s="50" t="str">
        <f>IFERROR(__xludf.DUMMYFUNCTION("""COMPUTED_VALUE"""),"Autre")</f>
        <v>Autre</v>
      </c>
      <c r="E139" s="50"/>
      <c r="F139" s="50" t="s">
        <v>1895</v>
      </c>
      <c r="G139" s="50" t="s">
        <v>1895</v>
      </c>
      <c r="H139" s="50" t="s">
        <v>1710</v>
      </c>
      <c r="I139" s="50"/>
      <c r="J139" s="50"/>
      <c r="K139" s="50"/>
      <c r="L139" s="50"/>
      <c r="M139" s="50"/>
      <c r="N139" s="50"/>
      <c r="O139" s="50"/>
      <c r="P139" s="50"/>
      <c r="Q139" s="50"/>
      <c r="R139" s="50"/>
      <c r="S139" s="50"/>
      <c r="T139" s="50"/>
      <c r="U139" s="50"/>
      <c r="V139" s="50" t="s">
        <v>19</v>
      </c>
      <c r="W139" s="50" t="s">
        <v>45</v>
      </c>
      <c r="X139" s="50" t="s">
        <v>45</v>
      </c>
      <c r="Y139" s="50" t="s">
        <v>45</v>
      </c>
      <c r="Z139" s="50" t="s">
        <v>45</v>
      </c>
      <c r="AA139" s="50"/>
      <c r="AB139" s="50"/>
      <c r="AC139" s="50"/>
    </row>
    <row r="140">
      <c r="A140" s="48"/>
      <c r="B140" s="49"/>
      <c r="C140" s="48"/>
      <c r="D140" s="50" t="str">
        <f>IFERROR(__xludf.DUMMYFUNCTION("""COMPUTED_VALUE"""),"")</f>
        <v/>
      </c>
      <c r="E140" s="50"/>
      <c r="F140" s="50"/>
      <c r="G140" s="50"/>
      <c r="H140" s="50" t="s">
        <v>1710</v>
      </c>
      <c r="I140" s="50"/>
      <c r="J140" s="50"/>
      <c r="K140" s="50"/>
      <c r="L140" s="50"/>
      <c r="M140" s="50"/>
      <c r="N140" s="50"/>
      <c r="O140" s="50"/>
      <c r="P140" s="50"/>
      <c r="Q140" s="50"/>
      <c r="R140" s="50"/>
      <c r="S140" s="50"/>
      <c r="T140" s="50"/>
      <c r="U140" s="50"/>
      <c r="V140" s="50" t="s">
        <v>45</v>
      </c>
      <c r="W140" s="50" t="s">
        <v>45</v>
      </c>
      <c r="X140" s="50" t="s">
        <v>45</v>
      </c>
      <c r="Y140" s="50" t="s">
        <v>45</v>
      </c>
      <c r="Z140" s="50" t="s">
        <v>45</v>
      </c>
      <c r="AA140" s="50"/>
      <c r="AB140" s="50"/>
      <c r="AC140" s="50"/>
    </row>
    <row r="141">
      <c r="A141" s="48"/>
      <c r="B141" s="49"/>
      <c r="C141" s="48"/>
      <c r="D141" s="50" t="str">
        <f>IFERROR(__xludf.DUMMYFUNCTION("""COMPUTED_VALUE"""),"")</f>
        <v/>
      </c>
      <c r="E141" s="50"/>
      <c r="F141" s="50"/>
      <c r="G141" s="50"/>
      <c r="H141" s="50" t="s">
        <v>1710</v>
      </c>
      <c r="I141" s="50"/>
      <c r="J141" s="50"/>
      <c r="K141" s="50"/>
      <c r="L141" s="50"/>
      <c r="M141" s="50"/>
      <c r="N141" s="50"/>
      <c r="O141" s="50"/>
      <c r="P141" s="50"/>
      <c r="Q141" s="50"/>
      <c r="R141" s="50"/>
      <c r="S141" s="50"/>
      <c r="T141" s="50"/>
      <c r="U141" s="50"/>
      <c r="V141" s="50"/>
      <c r="W141" s="50"/>
      <c r="X141" s="50"/>
      <c r="Y141" s="50"/>
      <c r="Z141" s="50"/>
      <c r="AA141" s="50"/>
      <c r="AB141" s="50"/>
      <c r="AC141" s="50"/>
    </row>
    <row r="142">
      <c r="A142" s="48" t="s">
        <v>2211</v>
      </c>
      <c r="B142" s="49" t="s">
        <v>2212</v>
      </c>
      <c r="C142" s="48" t="s">
        <v>2213</v>
      </c>
      <c r="D142" s="50" t="str">
        <f>IFERROR(__xludf.DUMMYFUNCTION("""COMPUTED_VALUE"""),"Greffe Morte")</f>
        <v>Greffe Morte</v>
      </c>
      <c r="E142" s="50"/>
      <c r="F142" s="50" t="s">
        <v>2214</v>
      </c>
      <c r="G142" s="50" t="s">
        <v>2214</v>
      </c>
      <c r="H142" s="50" t="s">
        <v>2215</v>
      </c>
      <c r="I142" s="50"/>
      <c r="J142" s="50"/>
      <c r="K142" s="50"/>
      <c r="L142" s="50"/>
      <c r="M142" s="50"/>
      <c r="N142" s="50"/>
      <c r="O142" s="50"/>
      <c r="P142" s="50"/>
      <c r="Q142" s="50"/>
      <c r="R142" s="50"/>
      <c r="S142" s="50" t="s">
        <v>2216</v>
      </c>
      <c r="T142" s="50"/>
      <c r="U142" s="50"/>
      <c r="V142" s="50" t="s">
        <v>2213</v>
      </c>
      <c r="W142" s="50" t="s">
        <v>1775</v>
      </c>
      <c r="X142" s="50" t="s">
        <v>1769</v>
      </c>
      <c r="Y142" s="50" t="s">
        <v>2104</v>
      </c>
      <c r="Z142" s="50"/>
      <c r="AA142" s="50"/>
      <c r="AB142" s="50"/>
      <c r="AC142" s="50"/>
    </row>
    <row r="143">
      <c r="A143" s="48" t="s">
        <v>2211</v>
      </c>
      <c r="B143" s="49" t="s">
        <v>2217</v>
      </c>
      <c r="C143" s="48" t="s">
        <v>2218</v>
      </c>
      <c r="D143" s="50" t="str">
        <f>IFERROR(__xludf.DUMMYFUNCTION("""COMPUTED_VALUE"""),"Le Greffon Est Peut-Être Mort")</f>
        <v>Le Greffon Est Peut-Être Mort</v>
      </c>
      <c r="E143" s="50"/>
      <c r="F143" s="50" t="s">
        <v>2219</v>
      </c>
      <c r="G143" s="50" t="s">
        <v>2219</v>
      </c>
      <c r="H143" s="50" t="s">
        <v>2220</v>
      </c>
      <c r="I143" s="50"/>
      <c r="J143" s="50"/>
      <c r="K143" s="50"/>
      <c r="L143" s="50"/>
      <c r="M143" s="50"/>
      <c r="N143" s="50"/>
      <c r="O143" s="50"/>
      <c r="P143" s="50"/>
      <c r="Q143" s="50"/>
      <c r="R143" s="50"/>
      <c r="S143" s="50" t="s">
        <v>2221</v>
      </c>
      <c r="T143" s="50"/>
      <c r="U143" s="50"/>
      <c r="V143" s="50" t="s">
        <v>2218</v>
      </c>
      <c r="W143" s="50" t="s">
        <v>1775</v>
      </c>
      <c r="X143" s="50" t="s">
        <v>1769</v>
      </c>
      <c r="Y143" s="50" t="s">
        <v>2104</v>
      </c>
      <c r="Z143" s="50" t="s">
        <v>1919</v>
      </c>
      <c r="AA143" s="50"/>
      <c r="AB143" s="50"/>
      <c r="AC143" s="50"/>
    </row>
    <row r="144">
      <c r="A144" s="48" t="s">
        <v>2211</v>
      </c>
      <c r="B144" s="49" t="s">
        <v>2222</v>
      </c>
      <c r="C144" s="48" t="s">
        <v>2223</v>
      </c>
      <c r="D144" s="50" t="str">
        <f>IFERROR(__xludf.DUMMYFUNCTION("""COMPUTED_VALUE"""),"Greffe Endommagée")</f>
        <v>Greffe Endommagée</v>
      </c>
      <c r="E144" s="50"/>
      <c r="F144" s="50" t="s">
        <v>2224</v>
      </c>
      <c r="G144" s="50" t="s">
        <v>2224</v>
      </c>
      <c r="H144" s="50" t="s">
        <v>2225</v>
      </c>
      <c r="I144" s="50"/>
      <c r="J144" s="50"/>
      <c r="K144" s="50"/>
      <c r="L144" s="50"/>
      <c r="M144" s="50"/>
      <c r="N144" s="50"/>
      <c r="O144" s="50"/>
      <c r="P144" s="50"/>
      <c r="Q144" s="50"/>
      <c r="R144" s="50"/>
      <c r="S144" s="50" t="s">
        <v>2226</v>
      </c>
      <c r="T144" s="50"/>
      <c r="U144" s="50"/>
      <c r="V144" s="50" t="s">
        <v>2223</v>
      </c>
      <c r="W144" s="50" t="s">
        <v>1775</v>
      </c>
      <c r="X144" s="50" t="s">
        <v>1769</v>
      </c>
      <c r="Y144" s="50" t="s">
        <v>2227</v>
      </c>
      <c r="Z144" s="50"/>
      <c r="AA144" s="50" t="s">
        <v>45</v>
      </c>
      <c r="AB144" s="50"/>
      <c r="AC144" s="50"/>
    </row>
    <row r="145">
      <c r="A145" s="48" t="s">
        <v>2211</v>
      </c>
      <c r="B145" s="49" t="s">
        <v>2228</v>
      </c>
      <c r="C145" s="48" t="s">
        <v>2229</v>
      </c>
      <c r="D145" s="50" t="str">
        <f>IFERROR(__xludf.DUMMYFUNCTION("""COMPUTED_VALUE"""),"Greffe Vivante")</f>
        <v>Greffe Vivante</v>
      </c>
      <c r="E145" s="50"/>
      <c r="F145" s="50" t="s">
        <v>2230</v>
      </c>
      <c r="G145" s="50" t="s">
        <v>2230</v>
      </c>
      <c r="H145" s="50" t="s">
        <v>2231</v>
      </c>
      <c r="I145" s="50"/>
      <c r="J145" s="50"/>
      <c r="K145" s="50"/>
      <c r="L145" s="50"/>
      <c r="M145" s="50"/>
      <c r="N145" s="50"/>
      <c r="O145" s="50"/>
      <c r="P145" s="50"/>
      <c r="Q145" s="50"/>
      <c r="R145" s="50"/>
      <c r="S145" s="50" t="s">
        <v>2232</v>
      </c>
      <c r="T145" s="50"/>
      <c r="U145" s="50"/>
      <c r="V145" s="50" t="s">
        <v>2229</v>
      </c>
      <c r="W145" s="50" t="s">
        <v>1775</v>
      </c>
      <c r="X145" s="50" t="s">
        <v>1769</v>
      </c>
      <c r="Y145" s="50" t="s">
        <v>2233</v>
      </c>
      <c r="Z145" s="50"/>
      <c r="AA145" s="50"/>
      <c r="AB145" s="50"/>
      <c r="AC145" s="50"/>
    </row>
    <row r="146">
      <c r="A146" s="48"/>
      <c r="B146" s="49"/>
      <c r="C146" s="48"/>
      <c r="D146" s="50" t="str">
        <f>IFERROR(__xludf.DUMMYFUNCTION("""COMPUTED_VALUE"""),"")</f>
        <v/>
      </c>
      <c r="E146" s="50"/>
      <c r="F146" s="50"/>
      <c r="G146" s="50"/>
      <c r="H146" s="50" t="s">
        <v>1710</v>
      </c>
      <c r="I146" s="50"/>
      <c r="J146" s="50"/>
      <c r="K146" s="50"/>
      <c r="L146" s="50"/>
      <c r="M146" s="50"/>
      <c r="N146" s="50"/>
      <c r="O146" s="50"/>
      <c r="P146" s="50"/>
      <c r="Q146" s="50"/>
      <c r="R146" s="50"/>
      <c r="S146" s="50"/>
      <c r="T146" s="50"/>
      <c r="U146" s="50"/>
      <c r="V146" s="50" t="s">
        <v>45</v>
      </c>
      <c r="W146" s="50" t="s">
        <v>45</v>
      </c>
      <c r="X146" s="50" t="s">
        <v>45</v>
      </c>
      <c r="Y146" s="50" t="s">
        <v>45</v>
      </c>
      <c r="Z146" s="50" t="s">
        <v>45</v>
      </c>
      <c r="AA146" s="50"/>
      <c r="AB146" s="50"/>
      <c r="AC146" s="50"/>
    </row>
    <row r="147">
      <c r="A147" s="48" t="s">
        <v>2234</v>
      </c>
      <c r="B147" s="49" t="s">
        <v>2235</v>
      </c>
      <c r="C147" s="48" t="s">
        <v>2236</v>
      </c>
      <c r="D147" s="50" t="str">
        <f>IFERROR(__xludf.DUMMYFUNCTION("""COMPUTED_VALUE"""),"Pas Prêt")</f>
        <v>Pas Prêt</v>
      </c>
      <c r="E147" s="50"/>
      <c r="F147" s="50" t="s">
        <v>2237</v>
      </c>
      <c r="G147" s="50" t="s">
        <v>2238</v>
      </c>
      <c r="H147" s="50" t="s">
        <v>2239</v>
      </c>
      <c r="I147" s="50"/>
      <c r="J147" s="50"/>
      <c r="K147" s="50"/>
      <c r="L147" s="50"/>
      <c r="M147" s="50"/>
      <c r="N147" s="50"/>
      <c r="O147" s="50"/>
      <c r="P147" s="50"/>
      <c r="Q147" s="50"/>
      <c r="R147" s="50"/>
      <c r="S147" s="50" t="s">
        <v>2240</v>
      </c>
      <c r="T147" s="50"/>
      <c r="U147" s="50"/>
      <c r="V147" s="50"/>
      <c r="W147" s="50" t="s">
        <v>2241</v>
      </c>
      <c r="X147" s="50" t="s">
        <v>2242</v>
      </c>
      <c r="Y147" s="50"/>
      <c r="Z147" s="50"/>
      <c r="AA147" s="50"/>
      <c r="AB147" s="50"/>
      <c r="AC147" s="50"/>
    </row>
    <row r="148">
      <c r="A148" s="48" t="s">
        <v>2234</v>
      </c>
      <c r="B148" s="49" t="s">
        <v>2243</v>
      </c>
      <c r="C148" s="48" t="s">
        <v>2244</v>
      </c>
      <c r="D148" s="50" t="str">
        <f>IFERROR(__xludf.DUMMYFUNCTION("""COMPUTED_VALUE"""),"Presque Prêt")</f>
        <v>Presque Prêt</v>
      </c>
      <c r="E148" s="50"/>
      <c r="F148" s="50" t="s">
        <v>2245</v>
      </c>
      <c r="G148" s="50" t="s">
        <v>2246</v>
      </c>
      <c r="H148" s="50" t="s">
        <v>2247</v>
      </c>
      <c r="I148" s="50"/>
      <c r="J148" s="50"/>
      <c r="K148" s="50"/>
      <c r="L148" s="50"/>
      <c r="M148" s="50"/>
      <c r="N148" s="50"/>
      <c r="O148" s="50"/>
      <c r="P148" s="50"/>
      <c r="Q148" s="50"/>
      <c r="R148" s="50"/>
      <c r="S148" s="50" t="s">
        <v>2248</v>
      </c>
      <c r="T148" s="50"/>
      <c r="U148" s="50"/>
      <c r="V148" s="50"/>
      <c r="W148" s="50" t="s">
        <v>2249</v>
      </c>
      <c r="X148" s="50" t="s">
        <v>2250</v>
      </c>
      <c r="Y148" s="50"/>
      <c r="Z148" s="50"/>
      <c r="AA148" s="50"/>
      <c r="AB148" s="50"/>
      <c r="AC148" s="50"/>
    </row>
    <row r="149">
      <c r="A149" s="48" t="s">
        <v>2234</v>
      </c>
      <c r="B149" s="49" t="s">
        <v>2251</v>
      </c>
      <c r="C149" s="48" t="s">
        <v>2252</v>
      </c>
      <c r="D149" s="50" t="str">
        <f>IFERROR(__xludf.DUMMYFUNCTION("""COMPUTED_VALUE"""),"Vraiment Prêt")</f>
        <v>Vraiment Prêt</v>
      </c>
      <c r="E149" s="50"/>
      <c r="F149" s="50" t="s">
        <v>2253</v>
      </c>
      <c r="G149" s="50" t="s">
        <v>2254</v>
      </c>
      <c r="H149" s="50" t="s">
        <v>2255</v>
      </c>
      <c r="I149" s="50"/>
      <c r="J149" s="50"/>
      <c r="K149" s="50"/>
      <c r="L149" s="50"/>
      <c r="M149" s="50"/>
      <c r="N149" s="50"/>
      <c r="O149" s="50"/>
      <c r="P149" s="50"/>
      <c r="Q149" s="50"/>
      <c r="R149" s="50"/>
      <c r="S149" s="50" t="s">
        <v>2256</v>
      </c>
      <c r="T149" s="50"/>
      <c r="U149" s="50"/>
      <c r="V149" s="50"/>
      <c r="W149" s="50" t="s">
        <v>2249</v>
      </c>
      <c r="X149" s="50" t="s">
        <v>2126</v>
      </c>
      <c r="Y149" s="50"/>
      <c r="Z149" s="50"/>
      <c r="AA149" s="50"/>
      <c r="AB149" s="50"/>
      <c r="AC149" s="50"/>
    </row>
    <row r="150">
      <c r="A150" s="48" t="s">
        <v>2234</v>
      </c>
      <c r="B150" s="49" t="s">
        <v>2257</v>
      </c>
      <c r="C150" s="48" t="s">
        <v>2258</v>
      </c>
      <c r="D150" s="50" t="str">
        <f>IFERROR(__xludf.DUMMYFUNCTION("""COMPUTED_VALUE"""),"Passé Prêt")</f>
        <v>Passé Prêt</v>
      </c>
      <c r="E150" s="50"/>
      <c r="F150" s="50" t="s">
        <v>2259</v>
      </c>
      <c r="G150" s="50" t="s">
        <v>2260</v>
      </c>
      <c r="H150" s="50" t="s">
        <v>2261</v>
      </c>
      <c r="I150" s="50"/>
      <c r="J150" s="50"/>
      <c r="K150" s="50"/>
      <c r="L150" s="50"/>
      <c r="M150" s="50"/>
      <c r="N150" s="50"/>
      <c r="O150" s="50"/>
      <c r="P150" s="50"/>
      <c r="Q150" s="50"/>
      <c r="R150" s="50"/>
      <c r="S150" s="50" t="s">
        <v>2262</v>
      </c>
      <c r="T150" s="50"/>
      <c r="U150" s="50"/>
      <c r="V150" s="50"/>
      <c r="W150" s="50" t="s">
        <v>2263</v>
      </c>
      <c r="X150" s="50" t="s">
        <v>2264</v>
      </c>
      <c r="Y150" s="50"/>
      <c r="Z150" s="50"/>
      <c r="AA150" s="50"/>
      <c r="AB150" s="50"/>
      <c r="AC150" s="50"/>
    </row>
    <row r="151">
      <c r="A151" s="48"/>
      <c r="B151" s="49"/>
      <c r="C151" s="48"/>
      <c r="D151" s="50" t="str">
        <f>IFERROR(__xludf.DUMMYFUNCTION("""COMPUTED_VALUE"""),"")</f>
        <v/>
      </c>
      <c r="E151" s="50"/>
      <c r="F151" s="50"/>
      <c r="G151" s="50"/>
      <c r="H151" s="50" t="s">
        <v>1710</v>
      </c>
      <c r="I151" s="50"/>
      <c r="J151" s="50"/>
      <c r="K151" s="50"/>
      <c r="L151" s="50"/>
      <c r="M151" s="50"/>
      <c r="N151" s="50"/>
      <c r="O151" s="50"/>
      <c r="P151" s="50"/>
      <c r="Q151" s="50"/>
      <c r="R151" s="50"/>
      <c r="S151" s="50"/>
      <c r="T151" s="50"/>
      <c r="U151" s="50"/>
      <c r="V151" s="50"/>
      <c r="W151" s="50"/>
      <c r="X151" s="50"/>
      <c r="Y151" s="50"/>
      <c r="Z151" s="50"/>
      <c r="AA151" s="50"/>
      <c r="AB151" s="50"/>
      <c r="AC151" s="50"/>
    </row>
    <row r="152">
      <c r="A152" s="48"/>
      <c r="B152" s="49"/>
      <c r="C152" s="48"/>
      <c r="D152" s="50" t="str">
        <f>IFERROR(__xludf.DUMMYFUNCTION("""COMPUTED_VALUE"""),"")</f>
        <v/>
      </c>
      <c r="E152" s="50"/>
      <c r="F152" s="50"/>
      <c r="G152" s="50"/>
      <c r="H152" s="50" t="s">
        <v>1710</v>
      </c>
      <c r="I152" s="50"/>
      <c r="J152" s="50"/>
      <c r="K152" s="50"/>
      <c r="L152" s="50"/>
      <c r="M152" s="50"/>
      <c r="N152" s="50"/>
      <c r="O152" s="50"/>
      <c r="P152" s="50"/>
      <c r="Q152" s="50"/>
      <c r="R152" s="50"/>
      <c r="S152" s="50"/>
      <c r="T152" s="50"/>
      <c r="U152" s="50"/>
      <c r="V152" s="50"/>
      <c r="W152" s="50"/>
      <c r="X152" s="50"/>
      <c r="Y152" s="50"/>
      <c r="Z152" s="50"/>
      <c r="AA152" s="50"/>
      <c r="AB152" s="50"/>
      <c r="AC152" s="50"/>
    </row>
    <row r="153">
      <c r="A153" s="48"/>
      <c r="B153" s="49"/>
      <c r="C153" s="48"/>
      <c r="D153" s="50" t="str">
        <f>IFERROR(__xludf.DUMMYFUNCTION("""COMPUTED_VALUE"""),"")</f>
        <v/>
      </c>
      <c r="E153" s="50"/>
      <c r="F153" s="50"/>
      <c r="G153" s="50"/>
      <c r="H153" s="50" t="s">
        <v>1710</v>
      </c>
      <c r="I153" s="50"/>
      <c r="J153" s="50"/>
      <c r="K153" s="50"/>
      <c r="L153" s="50"/>
      <c r="M153" s="50"/>
      <c r="N153" s="50"/>
      <c r="O153" s="50"/>
      <c r="P153" s="50"/>
      <c r="Q153" s="50"/>
      <c r="R153" s="50"/>
      <c r="S153" s="50"/>
      <c r="T153" s="50"/>
      <c r="U153" s="50"/>
      <c r="V153" s="50"/>
      <c r="W153" s="50"/>
      <c r="X153" s="50"/>
      <c r="Y153" s="50"/>
      <c r="Z153" s="50"/>
      <c r="AA153" s="50"/>
      <c r="AB153" s="50"/>
      <c r="AC153" s="50"/>
    </row>
    <row r="154">
      <c r="A154" s="48" t="s">
        <v>2265</v>
      </c>
      <c r="B154" s="49" t="s">
        <v>1076</v>
      </c>
      <c r="C154" s="48" t="s">
        <v>2266</v>
      </c>
      <c r="D154" s="50" t="str">
        <f>IFERROR(__xludf.DUMMYFUNCTION("""COMPUTED_VALUE"""),"Animal")</f>
        <v>Animal</v>
      </c>
      <c r="E154" s="50"/>
      <c r="F154" s="50" t="s">
        <v>2266</v>
      </c>
      <c r="G154" s="50" t="s">
        <v>2266</v>
      </c>
      <c r="H154" s="50" t="s">
        <v>2267</v>
      </c>
      <c r="I154" s="50"/>
      <c r="J154" s="50"/>
      <c r="K154" s="50"/>
      <c r="L154" s="50"/>
      <c r="M154" s="50"/>
      <c r="N154" s="50"/>
      <c r="O154" s="50"/>
      <c r="P154" s="50"/>
      <c r="Q154" s="50"/>
      <c r="R154" s="50"/>
      <c r="S154" s="50" t="s">
        <v>2268</v>
      </c>
      <c r="T154" s="50"/>
      <c r="U154" s="50"/>
      <c r="V154" s="50" t="s">
        <v>2266</v>
      </c>
      <c r="W154" s="50" t="s">
        <v>2269</v>
      </c>
      <c r="X154" s="50" t="s">
        <v>2270</v>
      </c>
      <c r="Y154" s="50" t="s">
        <v>45</v>
      </c>
      <c r="Z154" s="50" t="s">
        <v>45</v>
      </c>
      <c r="AA154" s="50"/>
      <c r="AB154" s="50"/>
      <c r="AC154" s="50"/>
    </row>
    <row r="155">
      <c r="A155" s="48" t="s">
        <v>2265</v>
      </c>
      <c r="B155" s="49" t="s">
        <v>2271</v>
      </c>
      <c r="C155" s="48" t="s">
        <v>2272</v>
      </c>
      <c r="D155" s="50" t="str">
        <f>IFERROR(__xludf.DUMMYFUNCTION("""COMPUTED_VALUE"""),"Personne")</f>
        <v>Personne</v>
      </c>
      <c r="E155" s="50"/>
      <c r="F155" s="50" t="s">
        <v>2273</v>
      </c>
      <c r="G155" s="50" t="s">
        <v>2273</v>
      </c>
      <c r="H155" s="50" t="s">
        <v>2274</v>
      </c>
      <c r="I155" s="50"/>
      <c r="J155" s="50"/>
      <c r="K155" s="50"/>
      <c r="L155" s="50"/>
      <c r="M155" s="50"/>
      <c r="N155" s="50"/>
      <c r="O155" s="50"/>
      <c r="P155" s="50"/>
      <c r="Q155" s="50"/>
      <c r="R155" s="50"/>
      <c r="S155" s="50" t="s">
        <v>2275</v>
      </c>
      <c r="T155" s="50"/>
      <c r="U155" s="50"/>
      <c r="V155" s="50" t="s">
        <v>2272</v>
      </c>
      <c r="W155" s="50" t="s">
        <v>2276</v>
      </c>
      <c r="X155" s="50" t="s">
        <v>2277</v>
      </c>
      <c r="Y155" s="50" t="s">
        <v>45</v>
      </c>
      <c r="Z155" s="50" t="s">
        <v>45</v>
      </c>
      <c r="AA155" s="50"/>
      <c r="AB155" s="50"/>
      <c r="AC155" s="50"/>
    </row>
    <row r="156">
      <c r="A156" s="48" t="s">
        <v>2265</v>
      </c>
      <c r="B156" s="49" t="s">
        <v>1825</v>
      </c>
      <c r="C156" s="48" t="s">
        <v>1826</v>
      </c>
      <c r="D156" s="50" t="str">
        <f>IFERROR(__xludf.DUMMYFUNCTION("""COMPUTED_VALUE"""),"Vent")</f>
        <v>Vent</v>
      </c>
      <c r="E156" s="50"/>
      <c r="F156" s="50" t="s">
        <v>1827</v>
      </c>
      <c r="G156" s="50" t="s">
        <v>1827</v>
      </c>
      <c r="H156" s="50" t="s">
        <v>2278</v>
      </c>
      <c r="I156" s="50"/>
      <c r="J156" s="50"/>
      <c r="K156" s="50"/>
      <c r="L156" s="50"/>
      <c r="M156" s="50"/>
      <c r="N156" s="50"/>
      <c r="O156" s="50"/>
      <c r="P156" s="50"/>
      <c r="Q156" s="50"/>
      <c r="R156" s="50"/>
      <c r="S156" s="50" t="s">
        <v>2279</v>
      </c>
      <c r="T156" s="50"/>
      <c r="U156" s="50"/>
      <c r="V156" s="50" t="s">
        <v>1826</v>
      </c>
      <c r="W156" s="50" t="s">
        <v>1829</v>
      </c>
      <c r="X156" s="50" t="s">
        <v>2169</v>
      </c>
      <c r="Y156" s="50" t="s">
        <v>45</v>
      </c>
      <c r="Z156" s="50" t="s">
        <v>45</v>
      </c>
      <c r="AA156" s="50"/>
      <c r="AB156" s="50"/>
      <c r="AC156" s="50"/>
    </row>
    <row r="157">
      <c r="A157" s="48" t="s">
        <v>2265</v>
      </c>
      <c r="B157" s="49" t="s">
        <v>1830</v>
      </c>
      <c r="C157" s="48" t="s">
        <v>1831</v>
      </c>
      <c r="D157" s="50" t="str">
        <f>IFERROR(__xludf.DUMMYFUNCTION("""COMPUTED_VALUE"""),"Feu")</f>
        <v>Feu</v>
      </c>
      <c r="E157" s="50"/>
      <c r="F157" s="50" t="s">
        <v>1832</v>
      </c>
      <c r="G157" s="50" t="s">
        <v>1832</v>
      </c>
      <c r="H157" s="50" t="s">
        <v>1833</v>
      </c>
      <c r="I157" s="50"/>
      <c r="J157" s="50"/>
      <c r="K157" s="50"/>
      <c r="L157" s="50"/>
      <c r="M157" s="50"/>
      <c r="N157" s="50"/>
      <c r="O157" s="50"/>
      <c r="P157" s="50"/>
      <c r="Q157" s="50"/>
      <c r="R157" s="50"/>
      <c r="S157" s="50" t="s">
        <v>2280</v>
      </c>
      <c r="T157" s="50"/>
      <c r="U157" s="50"/>
      <c r="V157" s="50" t="s">
        <v>1831</v>
      </c>
      <c r="W157" s="50" t="s">
        <v>1834</v>
      </c>
      <c r="X157" s="50"/>
      <c r="Y157" s="50" t="s">
        <v>45</v>
      </c>
      <c r="Z157" s="50" t="s">
        <v>45</v>
      </c>
      <c r="AA157" s="50"/>
      <c r="AB157" s="50"/>
      <c r="AC157" s="50"/>
    </row>
    <row r="158">
      <c r="A158" s="48" t="s">
        <v>2265</v>
      </c>
      <c r="B158" s="49" t="s">
        <v>2281</v>
      </c>
      <c r="C158" s="48" t="s">
        <v>2282</v>
      </c>
      <c r="D158" s="50" t="str">
        <f>IFERROR(__xludf.DUMMYFUNCTION("""COMPUTED_VALUE"""),"Trop Humide")</f>
        <v>Trop Humide</v>
      </c>
      <c r="E158" s="50"/>
      <c r="F158" s="50" t="s">
        <v>2283</v>
      </c>
      <c r="G158" s="50" t="s">
        <v>2283</v>
      </c>
      <c r="H158" s="50" t="s">
        <v>2284</v>
      </c>
      <c r="I158" s="50"/>
      <c r="J158" s="50"/>
      <c r="K158" s="50"/>
      <c r="L158" s="50"/>
      <c r="M158" s="50"/>
      <c r="N158" s="50"/>
      <c r="O158" s="50"/>
      <c r="P158" s="50"/>
      <c r="Q158" s="50"/>
      <c r="R158" s="50"/>
      <c r="S158" s="50" t="s">
        <v>2285</v>
      </c>
      <c r="T158" s="50"/>
      <c r="U158" s="50"/>
      <c r="V158" s="50" t="s">
        <v>2282</v>
      </c>
      <c r="W158" s="50" t="s">
        <v>1802</v>
      </c>
      <c r="X158" s="50" t="s">
        <v>1802</v>
      </c>
      <c r="Y158" s="50" t="s">
        <v>1802</v>
      </c>
      <c r="Z158" s="50" t="s">
        <v>45</v>
      </c>
      <c r="AA158" s="50"/>
      <c r="AB158" s="50"/>
      <c r="AC158" s="50"/>
    </row>
    <row r="159">
      <c r="A159" s="48" t="s">
        <v>2265</v>
      </c>
      <c r="B159" s="49" t="s">
        <v>2286</v>
      </c>
      <c r="C159" s="48" t="s">
        <v>2287</v>
      </c>
      <c r="D159" s="50" t="str">
        <f>IFERROR(__xludf.DUMMYFUNCTION("""COMPUTED_VALUE"""),"Trop Sec")</f>
        <v>Trop Sec</v>
      </c>
      <c r="E159" s="50"/>
      <c r="F159" s="50" t="s">
        <v>2288</v>
      </c>
      <c r="G159" s="50" t="s">
        <v>2288</v>
      </c>
      <c r="H159" s="50" t="s">
        <v>1710</v>
      </c>
      <c r="I159" s="50"/>
      <c r="J159" s="50"/>
      <c r="K159" s="50"/>
      <c r="L159" s="50"/>
      <c r="M159" s="50"/>
      <c r="N159" s="50"/>
      <c r="O159" s="50"/>
      <c r="P159" s="50"/>
      <c r="Q159" s="50"/>
      <c r="R159" s="50"/>
      <c r="S159" s="50" t="s">
        <v>2289</v>
      </c>
      <c r="T159" s="50"/>
      <c r="U159" s="50"/>
      <c r="V159" s="50" t="s">
        <v>2287</v>
      </c>
      <c r="W159" s="50" t="s">
        <v>45</v>
      </c>
      <c r="X159" s="50" t="s">
        <v>45</v>
      </c>
      <c r="Y159" s="50" t="s">
        <v>45</v>
      </c>
      <c r="Z159" s="50" t="s">
        <v>45</v>
      </c>
      <c r="AA159" s="50"/>
      <c r="AB159" s="50"/>
      <c r="AC159" s="50"/>
    </row>
    <row r="160">
      <c r="A160" s="48" t="s">
        <v>2265</v>
      </c>
      <c r="B160" s="49" t="s">
        <v>2290</v>
      </c>
      <c r="C160" s="48" t="s">
        <v>2291</v>
      </c>
      <c r="D160" s="50" t="str">
        <f>IFERROR(__xludf.DUMMYFUNCTION("""COMPUTED_VALUE"""),"Trop Ensoleillé")</f>
        <v>Trop Ensoleillé</v>
      </c>
      <c r="E160" s="50"/>
      <c r="F160" s="50" t="s">
        <v>2292</v>
      </c>
      <c r="G160" s="50" t="s">
        <v>2292</v>
      </c>
      <c r="H160" s="50" t="s">
        <v>2144</v>
      </c>
      <c r="I160" s="50"/>
      <c r="J160" s="50"/>
      <c r="K160" s="50"/>
      <c r="L160" s="50"/>
      <c r="M160" s="50"/>
      <c r="N160" s="50"/>
      <c r="O160" s="50"/>
      <c r="P160" s="50"/>
      <c r="Q160" s="50"/>
      <c r="R160" s="50"/>
      <c r="S160" s="50" t="s">
        <v>2293</v>
      </c>
      <c r="T160" s="50"/>
      <c r="U160" s="50"/>
      <c r="V160" s="50" t="s">
        <v>2291</v>
      </c>
      <c r="W160" s="50" t="s">
        <v>1782</v>
      </c>
      <c r="X160" s="50" t="s">
        <v>1782</v>
      </c>
      <c r="Y160" s="50" t="s">
        <v>1782</v>
      </c>
      <c r="Z160" s="50" t="s">
        <v>45</v>
      </c>
      <c r="AA160" s="50"/>
      <c r="AB160" s="50"/>
      <c r="AC160" s="50"/>
    </row>
    <row r="161">
      <c r="A161" s="48" t="s">
        <v>2265</v>
      </c>
      <c r="B161" s="49" t="s">
        <v>2023</v>
      </c>
      <c r="C161" s="48" t="s">
        <v>2294</v>
      </c>
      <c r="D161" s="50" t="str">
        <f>IFERROR(__xludf.DUMMYFUNCTION("""COMPUTED_VALUE"""),"Trop Louche")</f>
        <v>Trop Louche</v>
      </c>
      <c r="E161" s="50"/>
      <c r="F161" s="50" t="s">
        <v>2295</v>
      </c>
      <c r="G161" s="50" t="s">
        <v>2295</v>
      </c>
      <c r="H161" s="50" t="s">
        <v>2130</v>
      </c>
      <c r="I161" s="50"/>
      <c r="J161" s="50"/>
      <c r="K161" s="50"/>
      <c r="L161" s="50"/>
      <c r="M161" s="50"/>
      <c r="N161" s="50"/>
      <c r="O161" s="50"/>
      <c r="P161" s="50"/>
      <c r="Q161" s="50"/>
      <c r="R161" s="50"/>
      <c r="S161" s="50"/>
      <c r="T161" s="50"/>
      <c r="U161" s="50"/>
      <c r="V161" s="50" t="s">
        <v>2294</v>
      </c>
      <c r="W161" s="50" t="s">
        <v>2061</v>
      </c>
      <c r="X161" s="50" t="s">
        <v>2061</v>
      </c>
      <c r="Y161" s="50" t="s">
        <v>2061</v>
      </c>
      <c r="Z161" s="50" t="s">
        <v>45</v>
      </c>
      <c r="AA161" s="50"/>
      <c r="AB161" s="50"/>
      <c r="AC161" s="50"/>
    </row>
    <row r="162">
      <c r="A162" s="48" t="s">
        <v>2265</v>
      </c>
      <c r="B162" s="49" t="s">
        <v>2296</v>
      </c>
      <c r="C162" s="48" t="s">
        <v>2297</v>
      </c>
      <c r="D162" s="50" t="str">
        <f>IFERROR(__xludf.DUMMYFUNCTION("""COMPUTED_VALUE"""),"Manque De Nutrition")</f>
        <v>Manque De Nutrition</v>
      </c>
      <c r="E162" s="50"/>
      <c r="F162" s="50" t="s">
        <v>2297</v>
      </c>
      <c r="G162" s="50" t="s">
        <v>2297</v>
      </c>
      <c r="H162" s="50" t="s">
        <v>1710</v>
      </c>
      <c r="I162" s="50"/>
      <c r="J162" s="50"/>
      <c r="K162" s="50"/>
      <c r="L162" s="50"/>
      <c r="M162" s="50"/>
      <c r="N162" s="50"/>
      <c r="O162" s="50"/>
      <c r="P162" s="50"/>
      <c r="Q162" s="50"/>
      <c r="R162" s="50"/>
      <c r="S162" s="50"/>
      <c r="T162" s="50"/>
      <c r="U162" s="50"/>
      <c r="V162" s="50" t="s">
        <v>2297</v>
      </c>
      <c r="W162" s="50" t="s">
        <v>45</v>
      </c>
      <c r="X162" s="50" t="s">
        <v>45</v>
      </c>
      <c r="Y162" s="50" t="s">
        <v>45</v>
      </c>
      <c r="Z162" s="50" t="s">
        <v>45</v>
      </c>
      <c r="AA162" s="50"/>
      <c r="AB162" s="50"/>
      <c r="AC162" s="50"/>
    </row>
    <row r="163">
      <c r="A163" s="48" t="s">
        <v>2265</v>
      </c>
      <c r="B163" s="49" t="s">
        <v>2298</v>
      </c>
      <c r="C163" s="48" t="s">
        <v>2299</v>
      </c>
      <c r="D163" s="50" t="str">
        <f>IFERROR(__xludf.DUMMYFUNCTION("""COMPUTED_VALUE"""),"Érosion")</f>
        <v>Érosion</v>
      </c>
      <c r="E163" s="50"/>
      <c r="F163" s="50" t="s">
        <v>2299</v>
      </c>
      <c r="G163" s="50" t="s">
        <v>2299</v>
      </c>
      <c r="H163" s="50" t="s">
        <v>1710</v>
      </c>
      <c r="I163" s="50"/>
      <c r="J163" s="50"/>
      <c r="K163" s="50"/>
      <c r="L163" s="50"/>
      <c r="M163" s="50"/>
      <c r="N163" s="50"/>
      <c r="O163" s="50"/>
      <c r="P163" s="50"/>
      <c r="Q163" s="50"/>
      <c r="R163" s="50"/>
      <c r="S163" s="50"/>
      <c r="T163" s="50"/>
      <c r="U163" s="50"/>
      <c r="V163" s="50" t="s">
        <v>2299</v>
      </c>
      <c r="W163" s="50" t="s">
        <v>45</v>
      </c>
      <c r="X163" s="50" t="s">
        <v>45</v>
      </c>
      <c r="Y163" s="50" t="s">
        <v>45</v>
      </c>
      <c r="Z163" s="50" t="s">
        <v>45</v>
      </c>
      <c r="AA163" s="50"/>
      <c r="AB163" s="50"/>
      <c r="AC163" s="50"/>
    </row>
    <row r="164">
      <c r="A164" s="48" t="s">
        <v>2265</v>
      </c>
      <c r="B164" s="49" t="s">
        <v>2300</v>
      </c>
      <c r="C164" s="48" t="s">
        <v>1916</v>
      </c>
      <c r="D164" s="50" t="str">
        <f>IFERROR(__xludf.DUMMYFUNCTION("""COMPUTED_VALUE"""),"Inconnu")</f>
        <v>Inconnu</v>
      </c>
      <c r="E164" s="50"/>
      <c r="F164" s="50" t="s">
        <v>1917</v>
      </c>
      <c r="G164" s="50" t="s">
        <v>1917</v>
      </c>
      <c r="H164" s="50" t="s">
        <v>1918</v>
      </c>
      <c r="I164" s="50"/>
      <c r="J164" s="50"/>
      <c r="K164" s="50"/>
      <c r="L164" s="50"/>
      <c r="M164" s="50"/>
      <c r="N164" s="50"/>
      <c r="O164" s="50"/>
      <c r="P164" s="50"/>
      <c r="Q164" s="50"/>
      <c r="R164" s="50"/>
      <c r="S164" s="50" t="s">
        <v>2301</v>
      </c>
      <c r="T164" s="50"/>
      <c r="U164" s="50"/>
      <c r="V164" s="50" t="s">
        <v>1916</v>
      </c>
      <c r="W164" s="50" t="s">
        <v>1919</v>
      </c>
      <c r="X164" s="50"/>
      <c r="Y164" s="50"/>
      <c r="Z164" s="50"/>
      <c r="AA164" s="50" t="s">
        <v>45</v>
      </c>
      <c r="AB164" s="50"/>
      <c r="AC164" s="50"/>
    </row>
    <row r="165">
      <c r="A165" s="48" t="s">
        <v>2265</v>
      </c>
      <c r="B165" s="49" t="s">
        <v>2302</v>
      </c>
      <c r="C165" s="48" t="s">
        <v>19</v>
      </c>
      <c r="D165" s="50" t="str">
        <f>IFERROR(__xludf.DUMMYFUNCTION("""COMPUTED_VALUE"""),"Autre")</f>
        <v>Autre</v>
      </c>
      <c r="E165" s="50"/>
      <c r="F165" s="50" t="s">
        <v>1895</v>
      </c>
      <c r="G165" s="50" t="s">
        <v>1895</v>
      </c>
      <c r="H165" s="50" t="s">
        <v>1710</v>
      </c>
      <c r="I165" s="50"/>
      <c r="J165" s="50"/>
      <c r="K165" s="50"/>
      <c r="L165" s="50"/>
      <c r="M165" s="50"/>
      <c r="N165" s="50"/>
      <c r="O165" s="50"/>
      <c r="P165" s="50"/>
      <c r="Q165" s="50"/>
      <c r="R165" s="50"/>
      <c r="S165" s="50"/>
      <c r="T165" s="50"/>
      <c r="U165" s="50"/>
      <c r="V165" s="50" t="s">
        <v>19</v>
      </c>
      <c r="W165" s="50" t="s">
        <v>45</v>
      </c>
      <c r="X165" s="50" t="s">
        <v>45</v>
      </c>
      <c r="Y165" s="50" t="s">
        <v>45</v>
      </c>
      <c r="Z165" s="50" t="s">
        <v>45</v>
      </c>
      <c r="AA165" s="50"/>
      <c r="AB165" s="50"/>
      <c r="AC165" s="50"/>
    </row>
    <row r="166">
      <c r="A166" s="48"/>
      <c r="B166" s="49"/>
      <c r="C166" s="48"/>
      <c r="D166" s="50" t="str">
        <f>IFERROR(__xludf.DUMMYFUNCTION("""COMPUTED_VALUE"""),"")</f>
        <v/>
      </c>
      <c r="E166" s="50"/>
      <c r="F166" s="50"/>
      <c r="G166" s="50"/>
      <c r="H166" s="50" t="s">
        <v>1710</v>
      </c>
      <c r="I166" s="50"/>
      <c r="J166" s="50"/>
      <c r="K166" s="50"/>
      <c r="L166" s="50"/>
      <c r="M166" s="50"/>
      <c r="N166" s="50"/>
      <c r="O166" s="50"/>
      <c r="P166" s="50"/>
      <c r="Q166" s="50"/>
      <c r="R166" s="50"/>
      <c r="S166" s="50"/>
      <c r="T166" s="50"/>
      <c r="U166" s="50"/>
      <c r="V166" s="50" t="s">
        <v>45</v>
      </c>
      <c r="W166" s="50" t="s">
        <v>45</v>
      </c>
      <c r="X166" s="50" t="s">
        <v>45</v>
      </c>
      <c r="Y166" s="50" t="s">
        <v>45</v>
      </c>
      <c r="Z166" s="50" t="s">
        <v>45</v>
      </c>
      <c r="AA166" s="50"/>
      <c r="AB166" s="50"/>
      <c r="AC166" s="50"/>
    </row>
    <row r="167">
      <c r="A167" s="48"/>
      <c r="B167" s="49"/>
      <c r="C167" s="48"/>
      <c r="D167" s="50" t="str">
        <f>IFERROR(__xludf.DUMMYFUNCTION("""COMPUTED_VALUE"""),"")</f>
        <v/>
      </c>
      <c r="E167" s="50"/>
      <c r="F167" s="50"/>
      <c r="G167" s="50"/>
      <c r="H167" s="50" t="s">
        <v>1710</v>
      </c>
      <c r="I167" s="50"/>
      <c r="J167" s="50"/>
      <c r="K167" s="50"/>
      <c r="L167" s="50"/>
      <c r="M167" s="50"/>
      <c r="N167" s="50"/>
      <c r="O167" s="50"/>
      <c r="P167" s="50"/>
      <c r="Q167" s="50"/>
      <c r="R167" s="50"/>
      <c r="S167" s="50"/>
      <c r="T167" s="50"/>
      <c r="U167" s="50"/>
      <c r="V167" s="50"/>
      <c r="W167" s="50"/>
      <c r="X167" s="50"/>
      <c r="Y167" s="50"/>
      <c r="Z167" s="50"/>
      <c r="AA167" s="50"/>
      <c r="AB167" s="50"/>
      <c r="AC167" s="50"/>
    </row>
    <row r="168">
      <c r="A168" s="48" t="s">
        <v>2303</v>
      </c>
      <c r="B168" s="49" t="s">
        <v>2304</v>
      </c>
      <c r="C168" s="48" t="s">
        <v>1916</v>
      </c>
      <c r="D168" s="50" t="str">
        <f>IFERROR(__xludf.DUMMYFUNCTION("""COMPUTED_VALUE"""),"Inconnu")</f>
        <v>Inconnu</v>
      </c>
      <c r="E168" s="50"/>
      <c r="F168" s="50" t="s">
        <v>1917</v>
      </c>
      <c r="G168" s="50" t="s">
        <v>1917</v>
      </c>
      <c r="H168" s="50" t="s">
        <v>2305</v>
      </c>
      <c r="I168" s="50"/>
      <c r="J168" s="50"/>
      <c r="K168" s="50"/>
      <c r="L168" s="50"/>
      <c r="M168" s="50"/>
      <c r="N168" s="50"/>
      <c r="O168" s="50"/>
      <c r="P168" s="50"/>
      <c r="Q168" s="50"/>
      <c r="R168" s="50"/>
      <c r="S168" s="50"/>
      <c r="T168" s="50"/>
      <c r="U168" s="50"/>
      <c r="V168" s="50" t="s">
        <v>1916</v>
      </c>
      <c r="W168" s="50" t="s">
        <v>1919</v>
      </c>
      <c r="X168" s="50" t="s">
        <v>2306</v>
      </c>
      <c r="Y168" s="50" t="s">
        <v>2242</v>
      </c>
      <c r="Z168" s="50" t="s">
        <v>2307</v>
      </c>
      <c r="AA168" s="50" t="s">
        <v>45</v>
      </c>
      <c r="AB168" s="50"/>
      <c r="AC168" s="50"/>
    </row>
    <row r="169">
      <c r="A169" s="48" t="s">
        <v>2303</v>
      </c>
      <c r="B169" s="49" t="s">
        <v>2308</v>
      </c>
      <c r="C169" s="48" t="s">
        <v>2309</v>
      </c>
      <c r="D169" s="50" t="str">
        <f>IFERROR(__xludf.DUMMYFUNCTION("""COMPUTED_VALUE"""),"Vache")</f>
        <v>Vache</v>
      </c>
      <c r="E169" s="50"/>
      <c r="F169" s="50" t="s">
        <v>2310</v>
      </c>
      <c r="G169" s="50" t="s">
        <v>2310</v>
      </c>
      <c r="H169" s="50" t="s">
        <v>2311</v>
      </c>
      <c r="I169" s="50"/>
      <c r="J169" s="50"/>
      <c r="K169" s="50"/>
      <c r="L169" s="50"/>
      <c r="M169" s="50"/>
      <c r="N169" s="50"/>
      <c r="O169" s="50"/>
      <c r="P169" s="50"/>
      <c r="Q169" s="50"/>
      <c r="R169" s="50"/>
      <c r="S169" s="50"/>
      <c r="T169" s="50"/>
      <c r="U169" s="50"/>
      <c r="V169" s="50" t="s">
        <v>2309</v>
      </c>
      <c r="W169" s="50" t="s">
        <v>2312</v>
      </c>
      <c r="X169" s="50" t="s">
        <v>45</v>
      </c>
      <c r="Y169" s="50" t="s">
        <v>45</v>
      </c>
      <c r="Z169" s="50" t="s">
        <v>45</v>
      </c>
      <c r="AA169" s="50"/>
      <c r="AB169" s="50"/>
      <c r="AC169" s="50"/>
    </row>
    <row r="170">
      <c r="A170" s="48" t="s">
        <v>2303</v>
      </c>
      <c r="B170" s="49" t="s">
        <v>2313</v>
      </c>
      <c r="C170" s="48" t="s">
        <v>2314</v>
      </c>
      <c r="D170" s="50" t="str">
        <f>IFERROR(__xludf.DUMMYFUNCTION("""COMPUTED_VALUE"""),"Chèvre")</f>
        <v>Chèvre</v>
      </c>
      <c r="E170" s="50"/>
      <c r="F170" s="50" t="s">
        <v>2315</v>
      </c>
      <c r="G170" s="50" t="s">
        <v>2315</v>
      </c>
      <c r="H170" s="50" t="s">
        <v>2316</v>
      </c>
      <c r="I170" s="50"/>
      <c r="J170" s="50"/>
      <c r="K170" s="50"/>
      <c r="L170" s="50"/>
      <c r="M170" s="50"/>
      <c r="N170" s="50"/>
      <c r="O170" s="50"/>
      <c r="P170" s="50"/>
      <c r="Q170" s="50"/>
      <c r="R170" s="50"/>
      <c r="S170" s="50"/>
      <c r="T170" s="50"/>
      <c r="U170" s="50"/>
      <c r="V170" s="50" t="s">
        <v>2314</v>
      </c>
      <c r="W170" s="50" t="s">
        <v>2317</v>
      </c>
      <c r="X170" s="50" t="s">
        <v>45</v>
      </c>
      <c r="Y170" s="50" t="s">
        <v>45</v>
      </c>
      <c r="Z170" s="50" t="s">
        <v>45</v>
      </c>
      <c r="AA170" s="50"/>
      <c r="AB170" s="50"/>
      <c r="AC170" s="50"/>
    </row>
    <row r="171">
      <c r="A171" s="48" t="s">
        <v>2303</v>
      </c>
      <c r="B171" s="49" t="s">
        <v>2318</v>
      </c>
      <c r="C171" s="48" t="s">
        <v>2319</v>
      </c>
      <c r="D171" s="50" t="str">
        <f>IFERROR(__xludf.DUMMYFUNCTION("""COMPUTED_VALUE"""),"Termites")</f>
        <v>Termites</v>
      </c>
      <c r="E171" s="50"/>
      <c r="F171" s="50" t="s">
        <v>2319</v>
      </c>
      <c r="G171" s="50" t="s">
        <v>2319</v>
      </c>
      <c r="H171" s="50" t="s">
        <v>2320</v>
      </c>
      <c r="I171" s="50"/>
      <c r="J171" s="50"/>
      <c r="K171" s="50"/>
      <c r="L171" s="50"/>
      <c r="M171" s="50"/>
      <c r="N171" s="50"/>
      <c r="O171" s="50"/>
      <c r="P171" s="50"/>
      <c r="Q171" s="50"/>
      <c r="R171" s="50"/>
      <c r="S171" s="50"/>
      <c r="T171" s="50"/>
      <c r="U171" s="50"/>
      <c r="V171" s="50" t="s">
        <v>2319</v>
      </c>
      <c r="W171" s="50" t="s">
        <v>2321</v>
      </c>
      <c r="X171" s="50" t="s">
        <v>45</v>
      </c>
      <c r="Y171" s="50" t="s">
        <v>45</v>
      </c>
      <c r="Z171" s="50" t="s">
        <v>45</v>
      </c>
      <c r="AA171" s="50"/>
      <c r="AB171" s="50"/>
      <c r="AC171" s="50"/>
    </row>
    <row r="172">
      <c r="A172" s="48" t="s">
        <v>2303</v>
      </c>
      <c r="B172" s="49" t="s">
        <v>2322</v>
      </c>
      <c r="C172" s="48" t="s">
        <v>2323</v>
      </c>
      <c r="D172" s="50" t="str">
        <f>IFERROR(__xludf.DUMMYFUNCTION("""COMPUTED_VALUE"""),"Animal Sauvage")</f>
        <v>Animal Sauvage</v>
      </c>
      <c r="E172" s="50"/>
      <c r="F172" s="50" t="s">
        <v>2324</v>
      </c>
      <c r="G172" s="50" t="s">
        <v>2324</v>
      </c>
      <c r="H172" s="50" t="s">
        <v>2267</v>
      </c>
      <c r="I172" s="50"/>
      <c r="J172" s="50"/>
      <c r="K172" s="50"/>
      <c r="L172" s="50"/>
      <c r="M172" s="50"/>
      <c r="N172" s="50"/>
      <c r="O172" s="50"/>
      <c r="P172" s="50"/>
      <c r="Q172" s="50"/>
      <c r="R172" s="50"/>
      <c r="S172" s="50"/>
      <c r="T172" s="50"/>
      <c r="U172" s="50"/>
      <c r="V172" s="50" t="s">
        <v>2323</v>
      </c>
      <c r="W172" s="50" t="s">
        <v>2269</v>
      </c>
      <c r="X172" s="50" t="s">
        <v>2270</v>
      </c>
      <c r="Y172" s="50" t="s">
        <v>45</v>
      </c>
      <c r="Z172" s="50" t="s">
        <v>45</v>
      </c>
      <c r="AA172" s="50"/>
      <c r="AB172" s="50"/>
      <c r="AC172" s="50"/>
    </row>
    <row r="173">
      <c r="A173" s="48" t="s">
        <v>2303</v>
      </c>
      <c r="B173" s="49" t="s">
        <v>2325</v>
      </c>
      <c r="C173" s="48" t="s">
        <v>19</v>
      </c>
      <c r="D173" s="50" t="str">
        <f>IFERROR(__xludf.DUMMYFUNCTION("""COMPUTED_VALUE"""),"Autre")</f>
        <v>Autre</v>
      </c>
      <c r="E173" s="50"/>
      <c r="F173" s="50" t="s">
        <v>1895</v>
      </c>
      <c r="G173" s="50" t="s">
        <v>1895</v>
      </c>
      <c r="H173" s="50" t="s">
        <v>1710</v>
      </c>
      <c r="I173" s="50"/>
      <c r="J173" s="50"/>
      <c r="K173" s="50"/>
      <c r="L173" s="50"/>
      <c r="M173" s="50"/>
      <c r="N173" s="50"/>
      <c r="O173" s="50"/>
      <c r="P173" s="50"/>
      <c r="Q173" s="50"/>
      <c r="R173" s="50"/>
      <c r="S173" s="50"/>
      <c r="T173" s="50"/>
      <c r="U173" s="50"/>
      <c r="V173" s="50" t="s">
        <v>19</v>
      </c>
      <c r="W173" s="50" t="s">
        <v>45</v>
      </c>
      <c r="X173" s="50" t="s">
        <v>45</v>
      </c>
      <c r="Y173" s="50" t="s">
        <v>45</v>
      </c>
      <c r="Z173" s="50" t="s">
        <v>45</v>
      </c>
      <c r="AA173" s="50"/>
      <c r="AB173" s="50"/>
      <c r="AC173" s="50"/>
    </row>
    <row r="174">
      <c r="A174" s="48"/>
      <c r="B174" s="49"/>
      <c r="C174" s="48"/>
      <c r="D174" s="50" t="str">
        <f>IFERROR(__xludf.DUMMYFUNCTION("""COMPUTED_VALUE"""),"")</f>
        <v/>
      </c>
      <c r="E174" s="50"/>
      <c r="F174" s="50"/>
      <c r="G174" s="50"/>
      <c r="H174" s="50" t="s">
        <v>1710</v>
      </c>
      <c r="I174" s="50"/>
      <c r="J174" s="50"/>
      <c r="K174" s="50"/>
      <c r="L174" s="50"/>
      <c r="M174" s="50"/>
      <c r="N174" s="50"/>
      <c r="O174" s="50"/>
      <c r="P174" s="50"/>
      <c r="Q174" s="50"/>
      <c r="R174" s="50"/>
      <c r="S174" s="50"/>
      <c r="T174" s="50"/>
      <c r="U174" s="50"/>
      <c r="V174" s="50" t="s">
        <v>45</v>
      </c>
      <c r="W174" s="50" t="s">
        <v>45</v>
      </c>
      <c r="X174" s="50" t="s">
        <v>45</v>
      </c>
      <c r="Y174" s="50" t="s">
        <v>45</v>
      </c>
      <c r="Z174" s="50" t="s">
        <v>45</v>
      </c>
      <c r="AA174" s="50"/>
      <c r="AB174" s="50"/>
      <c r="AC174" s="50"/>
    </row>
    <row r="175">
      <c r="A175" s="48"/>
      <c r="B175" s="49"/>
      <c r="C175" s="48"/>
      <c r="D175" s="50" t="str">
        <f>IFERROR(__xludf.DUMMYFUNCTION("""COMPUTED_VALUE"""),"")</f>
        <v/>
      </c>
      <c r="E175" s="50"/>
      <c r="F175" s="50"/>
      <c r="G175" s="50"/>
      <c r="H175" s="50" t="s">
        <v>1710</v>
      </c>
      <c r="I175" s="50"/>
      <c r="J175" s="50"/>
      <c r="K175" s="50"/>
      <c r="L175" s="50"/>
      <c r="M175" s="50"/>
      <c r="N175" s="50"/>
      <c r="O175" s="50"/>
      <c r="P175" s="50"/>
      <c r="Q175" s="50"/>
      <c r="R175" s="50"/>
      <c r="S175" s="50"/>
      <c r="T175" s="50"/>
      <c r="U175" s="50"/>
      <c r="V175" s="50"/>
      <c r="W175" s="50"/>
      <c r="X175" s="50"/>
      <c r="Y175" s="50"/>
      <c r="Z175" s="50"/>
      <c r="AA175" s="50"/>
      <c r="AB175" s="50"/>
      <c r="AC175" s="50"/>
    </row>
    <row r="176">
      <c r="A176" s="48" t="s">
        <v>1082</v>
      </c>
      <c r="B176" s="49" t="s">
        <v>2326</v>
      </c>
      <c r="C176" s="48" t="s">
        <v>2327</v>
      </c>
      <c r="D176" s="50" t="str">
        <f>IFERROR(__xludf.DUMMYFUNCTION("""COMPUTED_VALUE"""),"Animal Sauvage Inconnu")</f>
        <v>Animal Sauvage Inconnu</v>
      </c>
      <c r="E176" s="50"/>
      <c r="F176" s="50" t="s">
        <v>2328</v>
      </c>
      <c r="G176" s="50" t="s">
        <v>2328</v>
      </c>
      <c r="H176" s="50" t="s">
        <v>2329</v>
      </c>
      <c r="I176" s="50"/>
      <c r="J176" s="50"/>
      <c r="K176" s="50"/>
      <c r="L176" s="50"/>
      <c r="M176" s="50"/>
      <c r="N176" s="50"/>
      <c r="O176" s="50"/>
      <c r="P176" s="50"/>
      <c r="Q176" s="50"/>
      <c r="R176" s="50"/>
      <c r="S176" s="50"/>
      <c r="T176" s="50"/>
      <c r="U176" s="50"/>
      <c r="V176" s="50" t="s">
        <v>2327</v>
      </c>
      <c r="W176" s="50" t="s">
        <v>2269</v>
      </c>
      <c r="X176" s="50" t="s">
        <v>1919</v>
      </c>
      <c r="Y176" s="50"/>
      <c r="Z176" s="50"/>
      <c r="AA176" s="50" t="s">
        <v>45</v>
      </c>
      <c r="AB176" s="50"/>
      <c r="AC176" s="50"/>
    </row>
    <row r="177">
      <c r="A177" s="48" t="s">
        <v>1082</v>
      </c>
      <c r="B177" s="49" t="s">
        <v>2330</v>
      </c>
      <c r="C177" s="48" t="s">
        <v>2331</v>
      </c>
      <c r="D177" s="50" t="str">
        <f>IFERROR(__xludf.DUMMYFUNCTION("""COMPUTED_VALUE"""),"Coupe-Herbe")</f>
        <v>Coupe-Herbe</v>
      </c>
      <c r="E177" s="50"/>
      <c r="F177" s="50" t="s">
        <v>2332</v>
      </c>
      <c r="G177" s="50" t="s">
        <v>2332</v>
      </c>
      <c r="H177" s="50" t="s">
        <v>2333</v>
      </c>
      <c r="I177" s="50"/>
      <c r="J177" s="50"/>
      <c r="K177" s="50"/>
      <c r="L177" s="50"/>
      <c r="M177" s="50"/>
      <c r="N177" s="50"/>
      <c r="O177" s="50"/>
      <c r="P177" s="50"/>
      <c r="Q177" s="50"/>
      <c r="R177" s="50"/>
      <c r="S177" s="50"/>
      <c r="T177" s="50"/>
      <c r="U177" s="50"/>
      <c r="V177" s="50" t="s">
        <v>2331</v>
      </c>
      <c r="W177" s="50" t="s">
        <v>2334</v>
      </c>
      <c r="X177" s="50" t="s">
        <v>45</v>
      </c>
      <c r="Y177" s="50" t="s">
        <v>45</v>
      </c>
      <c r="Z177" s="50" t="s">
        <v>45</v>
      </c>
      <c r="AA177" s="50"/>
      <c r="AB177" s="50"/>
      <c r="AC177" s="50"/>
    </row>
    <row r="178">
      <c r="A178" s="48" t="s">
        <v>1082</v>
      </c>
      <c r="B178" s="49" t="s">
        <v>2335</v>
      </c>
      <c r="C178" s="48" t="s">
        <v>2336</v>
      </c>
      <c r="D178" s="50" t="str">
        <f>IFERROR(__xludf.DUMMYFUNCTION("""COMPUTED_VALUE"""),"Oryctérope")</f>
        <v>Oryctérope</v>
      </c>
      <c r="E178" s="50"/>
      <c r="F178" s="50" t="s">
        <v>2336</v>
      </c>
      <c r="G178" s="50" t="s">
        <v>2336</v>
      </c>
      <c r="H178" s="50" t="s">
        <v>1710</v>
      </c>
      <c r="I178" s="50"/>
      <c r="J178" s="50"/>
      <c r="K178" s="50"/>
      <c r="L178" s="50"/>
      <c r="M178" s="50"/>
      <c r="N178" s="50"/>
      <c r="O178" s="50"/>
      <c r="P178" s="50"/>
      <c r="Q178" s="50"/>
      <c r="R178" s="50"/>
      <c r="S178" s="50"/>
      <c r="T178" s="50"/>
      <c r="U178" s="50"/>
      <c r="V178" s="50" t="s">
        <v>2336</v>
      </c>
      <c r="W178" s="50" t="s">
        <v>45</v>
      </c>
      <c r="X178" s="50" t="s">
        <v>45</v>
      </c>
      <c r="Y178" s="50" t="s">
        <v>45</v>
      </c>
      <c r="Z178" s="50" t="s">
        <v>45</v>
      </c>
      <c r="AA178" s="50"/>
      <c r="AB178" s="50"/>
      <c r="AC178" s="50"/>
    </row>
    <row r="179">
      <c r="A179" s="48" t="s">
        <v>1082</v>
      </c>
      <c r="B179" s="49" t="s">
        <v>2337</v>
      </c>
      <c r="C179" s="48" t="s">
        <v>2338</v>
      </c>
      <c r="D179" s="50" t="str">
        <f>IFERROR(__xludf.DUMMYFUNCTION("""COMPUTED_VALUE"""),"Céphalophe")</f>
        <v>Céphalophe</v>
      </c>
      <c r="E179" s="50"/>
      <c r="F179" s="50" t="s">
        <v>2338</v>
      </c>
      <c r="G179" s="50" t="s">
        <v>2338</v>
      </c>
      <c r="H179" s="50" t="s">
        <v>2339</v>
      </c>
      <c r="I179" s="50"/>
      <c r="J179" s="50"/>
      <c r="K179" s="50"/>
      <c r="L179" s="50"/>
      <c r="M179" s="50"/>
      <c r="N179" s="50"/>
      <c r="O179" s="50"/>
      <c r="P179" s="50"/>
      <c r="Q179" s="50"/>
      <c r="R179" s="50"/>
      <c r="S179" s="50"/>
      <c r="T179" s="50"/>
      <c r="U179" s="50"/>
      <c r="V179" s="50" t="s">
        <v>2338</v>
      </c>
      <c r="W179" s="50" t="s">
        <v>2270</v>
      </c>
      <c r="X179" s="50" t="s">
        <v>45</v>
      </c>
      <c r="Y179" s="50" t="s">
        <v>45</v>
      </c>
      <c r="Z179" s="50" t="s">
        <v>45</v>
      </c>
      <c r="AA179" s="50"/>
      <c r="AB179" s="50"/>
      <c r="AC179" s="50"/>
    </row>
    <row r="180">
      <c r="A180" s="48" t="s">
        <v>1082</v>
      </c>
      <c r="B180" s="49" t="s">
        <v>2340</v>
      </c>
      <c r="C180" s="48" t="s">
        <v>2341</v>
      </c>
      <c r="D180" s="50" t="str">
        <f>IFERROR(__xludf.DUMMYFUNCTION("""COMPUTED_VALUE"""),"Pangolin")</f>
        <v>Pangolin</v>
      </c>
      <c r="E180" s="50"/>
      <c r="F180" s="50" t="s">
        <v>2341</v>
      </c>
      <c r="G180" s="50" t="s">
        <v>2341</v>
      </c>
      <c r="H180" s="50" t="s">
        <v>1710</v>
      </c>
      <c r="I180" s="50"/>
      <c r="J180" s="50"/>
      <c r="K180" s="50"/>
      <c r="L180" s="50"/>
      <c r="M180" s="50"/>
      <c r="N180" s="50"/>
      <c r="O180" s="50"/>
      <c r="P180" s="50"/>
      <c r="Q180" s="50"/>
      <c r="R180" s="50"/>
      <c r="S180" s="50"/>
      <c r="T180" s="50"/>
      <c r="U180" s="50"/>
      <c r="V180" s="50" t="s">
        <v>2341</v>
      </c>
      <c r="W180" s="50" t="s">
        <v>45</v>
      </c>
      <c r="X180" s="50" t="s">
        <v>45</v>
      </c>
      <c r="Y180" s="50" t="s">
        <v>45</v>
      </c>
      <c r="Z180" s="50" t="s">
        <v>45</v>
      </c>
      <c r="AA180" s="50"/>
      <c r="AB180" s="50"/>
      <c r="AC180" s="50"/>
    </row>
    <row r="181">
      <c r="A181" s="48" t="s">
        <v>1082</v>
      </c>
      <c r="B181" s="49" t="s">
        <v>2342</v>
      </c>
      <c r="C181" s="48" t="s">
        <v>2343</v>
      </c>
      <c r="D181" s="50" t="str">
        <f>IFERROR(__xludf.DUMMYFUNCTION("""COMPUTED_VALUE"""),"Singe")</f>
        <v>Singe</v>
      </c>
      <c r="E181" s="50"/>
      <c r="F181" s="50" t="s">
        <v>2344</v>
      </c>
      <c r="G181" s="50" t="s">
        <v>2344</v>
      </c>
      <c r="H181" s="50" t="s">
        <v>2345</v>
      </c>
      <c r="I181" s="50"/>
      <c r="J181" s="50"/>
      <c r="K181" s="50"/>
      <c r="L181" s="50"/>
      <c r="M181" s="50"/>
      <c r="N181" s="50"/>
      <c r="O181" s="50"/>
      <c r="P181" s="50"/>
      <c r="Q181" s="50"/>
      <c r="R181" s="50"/>
      <c r="S181" s="50"/>
      <c r="T181" s="50"/>
      <c r="U181" s="50"/>
      <c r="V181" s="50" t="s">
        <v>2343</v>
      </c>
      <c r="W181" s="50" t="s">
        <v>2346</v>
      </c>
      <c r="X181" s="50" t="s">
        <v>45</v>
      </c>
      <c r="Y181" s="50" t="s">
        <v>45</v>
      </c>
      <c r="Z181" s="50" t="s">
        <v>45</v>
      </c>
      <c r="AA181" s="50"/>
      <c r="AB181" s="50"/>
      <c r="AC181" s="50"/>
    </row>
    <row r="182">
      <c r="A182" s="48"/>
      <c r="B182" s="49"/>
      <c r="C182" s="48"/>
      <c r="D182" s="50" t="str">
        <f>IFERROR(__xludf.DUMMYFUNCTION("""COMPUTED_VALUE"""),"")</f>
        <v/>
      </c>
      <c r="E182" s="50"/>
      <c r="F182" s="50"/>
      <c r="G182" s="50"/>
      <c r="H182" s="50" t="s">
        <v>1710</v>
      </c>
      <c r="I182" s="50"/>
      <c r="J182" s="50"/>
      <c r="K182" s="50"/>
      <c r="L182" s="50"/>
      <c r="M182" s="50"/>
      <c r="N182" s="50"/>
      <c r="O182" s="50"/>
      <c r="P182" s="50"/>
      <c r="Q182" s="50"/>
      <c r="R182" s="50"/>
      <c r="S182" s="50"/>
      <c r="T182" s="50"/>
      <c r="U182" s="50"/>
      <c r="V182" s="50" t="s">
        <v>45</v>
      </c>
      <c r="W182" s="50" t="s">
        <v>45</v>
      </c>
      <c r="X182" s="50" t="s">
        <v>45</v>
      </c>
      <c r="Y182" s="50" t="s">
        <v>45</v>
      </c>
      <c r="Z182" s="50" t="s">
        <v>45</v>
      </c>
      <c r="AA182" s="50"/>
      <c r="AB182" s="50"/>
      <c r="AC182" s="50"/>
    </row>
    <row r="183">
      <c r="A183" s="48"/>
      <c r="B183" s="49"/>
      <c r="C183" s="48"/>
      <c r="D183" s="50" t="str">
        <f>IFERROR(__xludf.DUMMYFUNCTION("""COMPUTED_VALUE"""),"")</f>
        <v/>
      </c>
      <c r="E183" s="50"/>
      <c r="F183" s="50"/>
      <c r="G183" s="50"/>
      <c r="H183" s="50" t="s">
        <v>1710</v>
      </c>
      <c r="I183" s="50"/>
      <c r="J183" s="50"/>
      <c r="K183" s="50"/>
      <c r="L183" s="50"/>
      <c r="M183" s="50"/>
      <c r="N183" s="50"/>
      <c r="O183" s="50"/>
      <c r="P183" s="50"/>
      <c r="Q183" s="50"/>
      <c r="R183" s="50"/>
      <c r="S183" s="50"/>
      <c r="T183" s="50"/>
      <c r="U183" s="50"/>
      <c r="V183" s="50"/>
      <c r="W183" s="50"/>
      <c r="X183" s="50"/>
      <c r="Y183" s="50"/>
      <c r="Z183" s="50"/>
      <c r="AA183" s="50"/>
      <c r="AB183" s="50"/>
      <c r="AC183" s="50"/>
    </row>
    <row r="184">
      <c r="A184" s="48" t="s">
        <v>2347</v>
      </c>
      <c r="B184" s="49" t="s">
        <v>2348</v>
      </c>
      <c r="C184" s="48" t="s">
        <v>2349</v>
      </c>
      <c r="D184" s="50" t="str">
        <f>IFERROR(__xludf.DUMMYFUNCTION("""COMPUTED_VALUE"""),"Bourgeonnant")</f>
        <v>Bourgeonnant</v>
      </c>
      <c r="E184" s="50"/>
      <c r="F184" s="50" t="s">
        <v>2350</v>
      </c>
      <c r="G184" s="50" t="s">
        <v>2350</v>
      </c>
      <c r="H184" s="50" t="s">
        <v>2351</v>
      </c>
      <c r="I184" s="50"/>
      <c r="J184" s="50"/>
      <c r="K184" s="50"/>
      <c r="L184" s="50"/>
      <c r="M184" s="50"/>
      <c r="N184" s="50"/>
      <c r="O184" s="50"/>
      <c r="P184" s="50" t="s">
        <v>2352</v>
      </c>
      <c r="Q184" s="50"/>
      <c r="R184" s="50" t="s">
        <v>701</v>
      </c>
      <c r="S184" s="50" t="s">
        <v>2353</v>
      </c>
      <c r="T184" s="50"/>
      <c r="U184" s="50"/>
      <c r="V184" s="50" t="s">
        <v>2349</v>
      </c>
      <c r="W184" s="50" t="s">
        <v>1769</v>
      </c>
      <c r="X184" s="50" t="s">
        <v>1796</v>
      </c>
      <c r="Y184" s="50" t="s">
        <v>2354</v>
      </c>
      <c r="Z184" s="50" t="s">
        <v>45</v>
      </c>
      <c r="AA184" s="50"/>
      <c r="AB184" s="50"/>
      <c r="AC184" s="50"/>
    </row>
    <row r="185">
      <c r="A185" s="48" t="s">
        <v>2347</v>
      </c>
      <c r="B185" s="49" t="s">
        <v>2355</v>
      </c>
      <c r="C185" s="48" t="s">
        <v>2356</v>
      </c>
      <c r="D185" s="50" t="str">
        <f>IFERROR(__xludf.DUMMYFUNCTION("""COMPUTED_VALUE"""),"Floraison")</f>
        <v>Floraison</v>
      </c>
      <c r="E185" s="50"/>
      <c r="F185" s="50" t="s">
        <v>2357</v>
      </c>
      <c r="G185" s="50" t="s">
        <v>2357</v>
      </c>
      <c r="H185" s="50" t="s">
        <v>2358</v>
      </c>
      <c r="I185" s="50"/>
      <c r="J185" s="50"/>
      <c r="K185" s="50"/>
      <c r="L185" s="50"/>
      <c r="M185" s="50"/>
      <c r="N185" s="50"/>
      <c r="O185" s="50"/>
      <c r="P185" s="50"/>
      <c r="Q185" s="50"/>
      <c r="R185" s="50" t="s">
        <v>713</v>
      </c>
      <c r="S185" s="50" t="s">
        <v>2359</v>
      </c>
      <c r="T185" s="50"/>
      <c r="U185" s="50"/>
      <c r="V185" s="50" t="s">
        <v>2356</v>
      </c>
      <c r="W185" s="50" t="s">
        <v>2264</v>
      </c>
      <c r="X185" s="50" t="s">
        <v>2354</v>
      </c>
      <c r="Y185" s="50" t="s">
        <v>45</v>
      </c>
      <c r="Z185" s="50" t="s">
        <v>45</v>
      </c>
      <c r="AA185" s="50"/>
      <c r="AB185" s="50"/>
      <c r="AC185" s="50"/>
    </row>
    <row r="186">
      <c r="A186" s="48" t="s">
        <v>2347</v>
      </c>
      <c r="B186" s="49" t="s">
        <v>2360</v>
      </c>
      <c r="C186" s="48" t="s">
        <v>2361</v>
      </c>
      <c r="D186" s="50" t="str">
        <f>IFERROR(__xludf.DUMMYFUNCTION("""COMPUTED_VALUE"""),"Fructification")</f>
        <v>Fructification</v>
      </c>
      <c r="E186" s="50"/>
      <c r="F186" s="50" t="s">
        <v>2362</v>
      </c>
      <c r="G186" s="50" t="s">
        <v>2362</v>
      </c>
      <c r="H186" s="50" t="s">
        <v>2363</v>
      </c>
      <c r="I186" s="50"/>
      <c r="J186" s="50"/>
      <c r="K186" s="50"/>
      <c r="L186" s="50"/>
      <c r="M186" s="50"/>
      <c r="N186" s="50"/>
      <c r="O186" s="50"/>
      <c r="P186" s="50"/>
      <c r="Q186" s="50"/>
      <c r="R186" s="50" t="s">
        <v>724</v>
      </c>
      <c r="S186" s="50" t="s">
        <v>2364</v>
      </c>
      <c r="T186" s="50"/>
      <c r="U186" s="50"/>
      <c r="V186" s="50" t="s">
        <v>2361</v>
      </c>
      <c r="W186" s="50" t="s">
        <v>2365</v>
      </c>
      <c r="X186" s="50" t="s">
        <v>2366</v>
      </c>
      <c r="Y186" s="50" t="s">
        <v>2367</v>
      </c>
      <c r="Z186" s="50" t="s">
        <v>45</v>
      </c>
      <c r="AA186" s="50"/>
      <c r="AB186" s="50"/>
      <c r="AC186" s="50"/>
    </row>
    <row r="187">
      <c r="A187" s="48" t="s">
        <v>2347</v>
      </c>
      <c r="B187" s="49" t="s">
        <v>2368</v>
      </c>
      <c r="C187" s="48" t="s">
        <v>2369</v>
      </c>
      <c r="D187" s="50" t="str">
        <f>IFERROR(__xludf.DUMMYFUNCTION("""COMPUTED_VALUE"""),"Nouvelles Succursales")</f>
        <v>Nouvelles Succursales</v>
      </c>
      <c r="E187" s="50"/>
      <c r="F187" s="50" t="s">
        <v>2370</v>
      </c>
      <c r="G187" s="50" t="s">
        <v>2370</v>
      </c>
      <c r="H187" s="50" t="s">
        <v>2371</v>
      </c>
      <c r="I187" s="50"/>
      <c r="J187" s="50"/>
      <c r="K187" s="50"/>
      <c r="L187" s="50"/>
      <c r="M187" s="50"/>
      <c r="N187" s="50"/>
      <c r="O187" s="50"/>
      <c r="P187" s="50"/>
      <c r="Q187" s="50"/>
      <c r="R187" s="50" t="s">
        <v>730</v>
      </c>
      <c r="S187" s="50" t="s">
        <v>2372</v>
      </c>
      <c r="T187" s="50"/>
      <c r="U187" s="50"/>
      <c r="V187" s="50" t="s">
        <v>2369</v>
      </c>
      <c r="W187" s="50" t="s">
        <v>2373</v>
      </c>
      <c r="X187" s="50" t="s">
        <v>1769</v>
      </c>
      <c r="Y187" s="50" t="s">
        <v>45</v>
      </c>
      <c r="Z187" s="50" t="s">
        <v>45</v>
      </c>
      <c r="AA187" s="50"/>
      <c r="AB187" s="50"/>
      <c r="AC187" s="50"/>
    </row>
    <row r="188">
      <c r="A188" s="48" t="s">
        <v>2347</v>
      </c>
      <c r="B188" s="49" t="s">
        <v>2374</v>
      </c>
      <c r="C188" s="48" t="s">
        <v>2375</v>
      </c>
      <c r="D188" s="50" t="str">
        <f>IFERROR(__xludf.DUMMYFUNCTION("""COMPUTED_VALUE"""),"Nouvelles Feuilles")</f>
        <v>Nouvelles Feuilles</v>
      </c>
      <c r="E188" s="50"/>
      <c r="F188" s="50" t="s">
        <v>2376</v>
      </c>
      <c r="G188" s="50" t="s">
        <v>2376</v>
      </c>
      <c r="H188" s="50" t="s">
        <v>2371</v>
      </c>
      <c r="I188" s="50"/>
      <c r="J188" s="50"/>
      <c r="K188" s="50"/>
      <c r="L188" s="50"/>
      <c r="M188" s="50"/>
      <c r="N188" s="50"/>
      <c r="O188" s="50"/>
      <c r="P188" s="50"/>
      <c r="Q188" s="50"/>
      <c r="R188" s="50" t="s">
        <v>736</v>
      </c>
      <c r="S188" s="50" t="s">
        <v>2377</v>
      </c>
      <c r="T188" s="50"/>
      <c r="U188" s="50"/>
      <c r="V188" s="50" t="s">
        <v>2375</v>
      </c>
      <c r="W188" s="50" t="s">
        <v>2373</v>
      </c>
      <c r="X188" s="50" t="s">
        <v>1769</v>
      </c>
      <c r="Y188" s="50" t="s">
        <v>45</v>
      </c>
      <c r="Z188" s="50" t="s">
        <v>45</v>
      </c>
      <c r="AA188" s="50"/>
      <c r="AB188" s="50"/>
      <c r="AC188" s="50"/>
    </row>
    <row r="189">
      <c r="A189" s="48"/>
      <c r="B189" s="49"/>
      <c r="C189" s="48"/>
      <c r="D189" s="50" t="str">
        <f>IFERROR(__xludf.DUMMYFUNCTION("""COMPUTED_VALUE"""),"")</f>
        <v/>
      </c>
      <c r="E189" s="50"/>
      <c r="F189" s="50"/>
      <c r="G189" s="50"/>
      <c r="H189" s="50" t="s">
        <v>1710</v>
      </c>
      <c r="I189" s="50"/>
      <c r="J189" s="50"/>
      <c r="K189" s="50"/>
      <c r="L189" s="50"/>
      <c r="M189" s="50"/>
      <c r="N189" s="50"/>
      <c r="O189" s="50"/>
      <c r="P189" s="50"/>
      <c r="Q189" s="50"/>
      <c r="R189" s="50"/>
      <c r="S189" s="50"/>
      <c r="T189" s="50"/>
      <c r="U189" s="50"/>
      <c r="V189" s="50" t="s">
        <v>45</v>
      </c>
      <c r="W189" s="50" t="s">
        <v>45</v>
      </c>
      <c r="X189" s="50" t="s">
        <v>45</v>
      </c>
      <c r="Y189" s="50" t="s">
        <v>45</v>
      </c>
      <c r="Z189" s="50" t="s">
        <v>45</v>
      </c>
      <c r="AA189" s="50"/>
      <c r="AB189" s="50"/>
      <c r="AC189" s="50"/>
    </row>
    <row r="190">
      <c r="A190" s="48" t="s">
        <v>2378</v>
      </c>
      <c r="B190" s="49" t="s">
        <v>107</v>
      </c>
      <c r="C190" s="48" t="s">
        <v>2379</v>
      </c>
      <c r="D190" s="50" t="str">
        <f>IFERROR(__xludf.DUMMYFUNCTION("""COMPUTED_VALUE"""),"Oui")</f>
        <v>Oui</v>
      </c>
      <c r="E190" s="50"/>
      <c r="F190" s="50" t="s">
        <v>2380</v>
      </c>
      <c r="G190" s="50" t="s">
        <v>2380</v>
      </c>
      <c r="H190" s="50" t="s">
        <v>2381</v>
      </c>
      <c r="I190" s="50"/>
      <c r="J190" s="50"/>
      <c r="K190" s="50"/>
      <c r="L190" s="50"/>
      <c r="M190" s="50"/>
      <c r="N190" s="50"/>
      <c r="O190" s="50"/>
      <c r="P190" s="50"/>
      <c r="Q190" s="50"/>
      <c r="R190" s="50"/>
      <c r="S190" s="50" t="s">
        <v>2382</v>
      </c>
      <c r="T190" s="50" t="s">
        <v>2383</v>
      </c>
      <c r="U190" s="50"/>
      <c r="V190" s="50" t="s">
        <v>2379</v>
      </c>
      <c r="W190" s="50" t="s">
        <v>2126</v>
      </c>
      <c r="X190" s="50" t="s">
        <v>2384</v>
      </c>
      <c r="Y190" s="50" t="s">
        <v>45</v>
      </c>
      <c r="Z190" s="50" t="s">
        <v>45</v>
      </c>
      <c r="AA190" s="50"/>
      <c r="AB190" s="50"/>
      <c r="AC190" s="50"/>
    </row>
    <row r="191">
      <c r="A191" s="48" t="s">
        <v>2378</v>
      </c>
      <c r="B191" s="49" t="s">
        <v>176</v>
      </c>
      <c r="C191" s="48" t="s">
        <v>2385</v>
      </c>
      <c r="D191" s="50" t="str">
        <f>IFERROR(__xludf.DUMMYFUNCTION("""COMPUTED_VALUE"""),"Non")</f>
        <v>Non</v>
      </c>
      <c r="E191" s="50"/>
      <c r="F191" s="50" t="s">
        <v>2386</v>
      </c>
      <c r="G191" s="50" t="s">
        <v>2386</v>
      </c>
      <c r="H191" s="50" t="s">
        <v>2387</v>
      </c>
      <c r="I191" s="50"/>
      <c r="J191" s="50"/>
      <c r="K191" s="50"/>
      <c r="L191" s="50"/>
      <c r="M191" s="50"/>
      <c r="N191" s="50"/>
      <c r="O191" s="50"/>
      <c r="P191" s="50"/>
      <c r="Q191" s="50"/>
      <c r="R191" s="50"/>
      <c r="S191" s="50" t="s">
        <v>2388</v>
      </c>
      <c r="T191" s="50" t="s">
        <v>2389</v>
      </c>
      <c r="U191" s="50"/>
      <c r="V191" s="50" t="s">
        <v>2385</v>
      </c>
      <c r="W191" s="50" t="s">
        <v>2242</v>
      </c>
      <c r="X191" s="50" t="s">
        <v>2307</v>
      </c>
      <c r="Y191" s="50" t="s">
        <v>45</v>
      </c>
      <c r="Z191" s="50" t="s">
        <v>45</v>
      </c>
      <c r="AA191" s="50"/>
      <c r="AB191" s="50"/>
      <c r="AC191" s="50"/>
    </row>
    <row r="192">
      <c r="A192" s="48"/>
      <c r="B192" s="49"/>
      <c r="C192" s="48"/>
      <c r="D192" s="50" t="str">
        <f>IFERROR(__xludf.DUMMYFUNCTION("""COMPUTED_VALUE"""),"")</f>
        <v/>
      </c>
      <c r="E192" s="50"/>
      <c r="F192" s="50"/>
      <c r="G192" s="50"/>
      <c r="H192" s="50" t="s">
        <v>1710</v>
      </c>
      <c r="I192" s="50"/>
      <c r="J192" s="50"/>
      <c r="K192" s="50"/>
      <c r="L192" s="50"/>
      <c r="M192" s="50"/>
      <c r="N192" s="50"/>
      <c r="O192" s="50"/>
      <c r="P192" s="50"/>
      <c r="Q192" s="50"/>
      <c r="R192" s="50"/>
      <c r="S192" s="50"/>
      <c r="T192" s="50"/>
      <c r="U192" s="50"/>
      <c r="V192" s="50" t="s">
        <v>45</v>
      </c>
      <c r="W192" s="50" t="s">
        <v>45</v>
      </c>
      <c r="X192" s="50" t="s">
        <v>45</v>
      </c>
      <c r="Y192" s="50" t="s">
        <v>45</v>
      </c>
      <c r="Z192" s="50" t="s">
        <v>45</v>
      </c>
      <c r="AA192" s="50"/>
      <c r="AB192" s="50"/>
      <c r="AC192" s="50"/>
    </row>
    <row r="193">
      <c r="A193" s="48" t="s">
        <v>2390</v>
      </c>
      <c r="B193" s="49" t="s">
        <v>2391</v>
      </c>
      <c r="C193" s="48" t="s">
        <v>2379</v>
      </c>
      <c r="D193" s="50" t="str">
        <f>IFERROR(__xludf.DUMMYFUNCTION("""COMPUTED_VALUE"""),"Oui")</f>
        <v>Oui</v>
      </c>
      <c r="E193" s="50"/>
      <c r="F193" s="50" t="s">
        <v>2380</v>
      </c>
      <c r="G193" s="50" t="s">
        <v>2380</v>
      </c>
      <c r="H193" s="50" t="s">
        <v>2381</v>
      </c>
      <c r="I193" s="50"/>
      <c r="J193" s="50"/>
      <c r="K193" s="50"/>
      <c r="L193" s="50"/>
      <c r="M193" s="50"/>
      <c r="N193" s="50"/>
      <c r="O193" s="50"/>
      <c r="P193" s="50"/>
      <c r="Q193" s="50"/>
      <c r="R193" s="50"/>
      <c r="S193" s="50" t="s">
        <v>2382</v>
      </c>
      <c r="T193" s="50"/>
      <c r="U193" s="50"/>
      <c r="V193" s="50" t="s">
        <v>2379</v>
      </c>
      <c r="W193" s="50" t="s">
        <v>2126</v>
      </c>
      <c r="X193" s="50" t="s">
        <v>2384</v>
      </c>
      <c r="Y193" s="50" t="s">
        <v>45</v>
      </c>
      <c r="Z193" s="50" t="s">
        <v>45</v>
      </c>
      <c r="AA193" s="50"/>
      <c r="AB193" s="50"/>
      <c r="AC193" s="50"/>
    </row>
    <row r="194">
      <c r="A194" s="48" t="s">
        <v>2390</v>
      </c>
      <c r="B194" s="49" t="s">
        <v>2392</v>
      </c>
      <c r="C194" s="48" t="s">
        <v>2385</v>
      </c>
      <c r="D194" s="50" t="str">
        <f>IFERROR(__xludf.DUMMYFUNCTION("""COMPUTED_VALUE"""),"Non")</f>
        <v>Non</v>
      </c>
      <c r="E194" s="50"/>
      <c r="F194" s="50" t="s">
        <v>2386</v>
      </c>
      <c r="G194" s="50" t="s">
        <v>2386</v>
      </c>
      <c r="H194" s="50" t="s">
        <v>2387</v>
      </c>
      <c r="I194" s="50"/>
      <c r="J194" s="50"/>
      <c r="K194" s="50"/>
      <c r="L194" s="50"/>
      <c r="M194" s="50"/>
      <c r="N194" s="50"/>
      <c r="O194" s="50"/>
      <c r="P194" s="50"/>
      <c r="Q194" s="50"/>
      <c r="R194" s="50"/>
      <c r="S194" s="50" t="s">
        <v>2388</v>
      </c>
      <c r="T194" s="50"/>
      <c r="U194" s="50"/>
      <c r="V194" s="50" t="s">
        <v>2385</v>
      </c>
      <c r="W194" s="50" t="s">
        <v>2242</v>
      </c>
      <c r="X194" s="50" t="s">
        <v>2307</v>
      </c>
      <c r="Y194" s="50" t="s">
        <v>45</v>
      </c>
      <c r="Z194" s="50" t="s">
        <v>45</v>
      </c>
      <c r="AA194" s="50"/>
      <c r="AB194" s="50"/>
      <c r="AC194" s="50"/>
    </row>
    <row r="195">
      <c r="A195" s="48" t="s">
        <v>2390</v>
      </c>
      <c r="B195" s="49" t="s">
        <v>2393</v>
      </c>
      <c r="C195" s="48" t="s">
        <v>2394</v>
      </c>
      <c r="D195" s="50" t="str">
        <f>IFERROR(__xludf.DUMMYFUNCTION("""COMPUTED_VALUE"""),"Peut Être")</f>
        <v>Peut Être</v>
      </c>
      <c r="E195" s="50"/>
      <c r="F195" s="50" t="s">
        <v>2395</v>
      </c>
      <c r="G195" s="50" t="s">
        <v>2395</v>
      </c>
      <c r="H195" s="50" t="s">
        <v>2396</v>
      </c>
      <c r="I195" s="50"/>
      <c r="J195" s="50"/>
      <c r="K195" s="50"/>
      <c r="L195" s="50"/>
      <c r="M195" s="50"/>
      <c r="N195" s="50"/>
      <c r="O195" s="50"/>
      <c r="P195" s="50"/>
      <c r="Q195" s="50"/>
      <c r="R195" s="50"/>
      <c r="S195" s="50" t="s">
        <v>2397</v>
      </c>
      <c r="T195" s="50"/>
      <c r="U195" s="50"/>
      <c r="V195" s="50" t="s">
        <v>2394</v>
      </c>
      <c r="W195" s="50" t="s">
        <v>2398</v>
      </c>
      <c r="X195" s="50" t="s">
        <v>1919</v>
      </c>
      <c r="Y195" s="50" t="s">
        <v>45</v>
      </c>
      <c r="Z195" s="50" t="s">
        <v>45</v>
      </c>
      <c r="AA195" s="50"/>
      <c r="AB195" s="50"/>
      <c r="AC195" s="50"/>
    </row>
    <row r="196">
      <c r="A196" s="48"/>
      <c r="B196" s="49"/>
      <c r="C196" s="48"/>
      <c r="D196" s="50" t="str">
        <f>IFERROR(__xludf.DUMMYFUNCTION("""COMPUTED_VALUE"""),"")</f>
        <v/>
      </c>
      <c r="E196" s="50"/>
      <c r="F196" s="50"/>
      <c r="G196" s="50"/>
      <c r="H196" s="50" t="s">
        <v>1710</v>
      </c>
      <c r="I196" s="50"/>
      <c r="J196" s="50"/>
      <c r="K196" s="50"/>
      <c r="L196" s="50"/>
      <c r="M196" s="50"/>
      <c r="N196" s="50"/>
      <c r="O196" s="50"/>
      <c r="P196" s="50"/>
      <c r="Q196" s="50"/>
      <c r="R196" s="50"/>
      <c r="S196" s="50"/>
      <c r="T196" s="50"/>
      <c r="U196" s="50"/>
      <c r="V196" s="50" t="s">
        <v>45</v>
      </c>
      <c r="W196" s="50" t="s">
        <v>45</v>
      </c>
      <c r="X196" s="50" t="s">
        <v>45</v>
      </c>
      <c r="Y196" s="50" t="s">
        <v>45</v>
      </c>
      <c r="Z196" s="50" t="s">
        <v>45</v>
      </c>
      <c r="AA196" s="50"/>
      <c r="AB196" s="50"/>
      <c r="AC196" s="50"/>
    </row>
    <row r="197">
      <c r="A197" s="48" t="s">
        <v>2399</v>
      </c>
      <c r="B197" s="49" t="s">
        <v>2400</v>
      </c>
      <c r="C197" s="48" t="s">
        <v>2401</v>
      </c>
      <c r="D197" s="50" t="str">
        <f>IFERROR(__xludf.DUMMYFUNCTION("""COMPUTED_VALUE"""),"Seulement Un")</f>
        <v>Seulement Un</v>
      </c>
      <c r="E197" s="50"/>
      <c r="F197" s="50" t="s">
        <v>2402</v>
      </c>
      <c r="G197" s="50" t="s">
        <v>2402</v>
      </c>
      <c r="H197" s="50" t="s">
        <v>2403</v>
      </c>
      <c r="I197" s="50"/>
      <c r="J197" s="50"/>
      <c r="K197" s="50"/>
      <c r="L197" s="50"/>
      <c r="M197" s="50"/>
      <c r="N197" s="50"/>
      <c r="O197" s="50"/>
      <c r="P197" s="50"/>
      <c r="Q197" s="50"/>
      <c r="R197" s="50"/>
      <c r="S197" s="50" t="s">
        <v>2404</v>
      </c>
      <c r="T197" s="50"/>
      <c r="U197" s="50"/>
      <c r="V197" s="50" t="s">
        <v>2401</v>
      </c>
      <c r="W197" s="50" t="s">
        <v>2354</v>
      </c>
      <c r="X197" s="50" t="s">
        <v>45</v>
      </c>
      <c r="Y197" s="50" t="s">
        <v>45</v>
      </c>
      <c r="Z197" s="50" t="s">
        <v>45</v>
      </c>
      <c r="AA197" s="50"/>
      <c r="AB197" s="50"/>
      <c r="AC197" s="50"/>
    </row>
    <row r="198">
      <c r="A198" s="48" t="s">
        <v>2399</v>
      </c>
      <c r="B198" s="49" t="s">
        <v>2405</v>
      </c>
      <c r="C198" s="48" t="s">
        <v>2406</v>
      </c>
      <c r="D198" s="50" t="str">
        <f>IFERROR(__xludf.DUMMYFUNCTION("""COMPUTED_VALUE"""),"Quelques")</f>
        <v>Quelques</v>
      </c>
      <c r="E198" s="50"/>
      <c r="F198" s="50" t="s">
        <v>2407</v>
      </c>
      <c r="G198" s="50" t="s">
        <v>2407</v>
      </c>
      <c r="H198" s="50" t="s">
        <v>2408</v>
      </c>
      <c r="I198" s="50"/>
      <c r="J198" s="50"/>
      <c r="K198" s="50"/>
      <c r="L198" s="50"/>
      <c r="M198" s="50"/>
      <c r="N198" s="50"/>
      <c r="O198" s="50"/>
      <c r="P198" s="50"/>
      <c r="Q198" s="50"/>
      <c r="R198" s="50"/>
      <c r="S198" s="50" t="s">
        <v>2409</v>
      </c>
      <c r="T198" s="50"/>
      <c r="U198" s="50"/>
      <c r="V198" s="50" t="s">
        <v>2406</v>
      </c>
      <c r="W198" s="50" t="s">
        <v>2410</v>
      </c>
      <c r="X198" s="50" t="s">
        <v>45</v>
      </c>
      <c r="Y198" s="50" t="s">
        <v>45</v>
      </c>
      <c r="Z198" s="50" t="s">
        <v>45</v>
      </c>
      <c r="AA198" s="50"/>
      <c r="AB198" s="50"/>
      <c r="AC198" s="50"/>
    </row>
    <row r="199">
      <c r="A199" s="48" t="s">
        <v>2399</v>
      </c>
      <c r="B199" s="49" t="s">
        <v>2411</v>
      </c>
      <c r="C199" s="48" t="s">
        <v>2412</v>
      </c>
      <c r="D199" s="50" t="str">
        <f>IFERROR(__xludf.DUMMYFUNCTION("""COMPUTED_VALUE"""),"Beaucoup!")</f>
        <v>Beaucoup!</v>
      </c>
      <c r="E199" s="50"/>
      <c r="F199" s="50" t="s">
        <v>2413</v>
      </c>
      <c r="G199" s="50" t="s">
        <v>2413</v>
      </c>
      <c r="H199" s="50" t="s">
        <v>2414</v>
      </c>
      <c r="I199" s="50"/>
      <c r="J199" s="50"/>
      <c r="K199" s="50"/>
      <c r="L199" s="50"/>
      <c r="M199" s="50"/>
      <c r="N199" s="50"/>
      <c r="O199" s="50"/>
      <c r="P199" s="50"/>
      <c r="Q199" s="50"/>
      <c r="R199" s="50"/>
      <c r="S199" s="50" t="s">
        <v>2415</v>
      </c>
      <c r="T199" s="50"/>
      <c r="U199" s="50"/>
      <c r="V199" s="50" t="s">
        <v>2412</v>
      </c>
      <c r="W199" s="50" t="s">
        <v>2416</v>
      </c>
      <c r="X199" s="50" t="s">
        <v>45</v>
      </c>
      <c r="Y199" s="50" t="s">
        <v>45</v>
      </c>
      <c r="Z199" s="50" t="s">
        <v>45</v>
      </c>
      <c r="AA199" s="50"/>
      <c r="AB199" s="50"/>
      <c r="AC199" s="50"/>
    </row>
    <row r="200">
      <c r="A200" s="48"/>
      <c r="B200" s="49"/>
      <c r="C200" s="48"/>
      <c r="D200" s="50" t="str">
        <f>IFERROR(__xludf.DUMMYFUNCTION("""COMPUTED_VALUE"""),"")</f>
        <v/>
      </c>
      <c r="E200" s="50"/>
      <c r="F200" s="50"/>
      <c r="G200" s="50"/>
      <c r="H200" s="50" t="s">
        <v>1710</v>
      </c>
      <c r="I200" s="50"/>
      <c r="J200" s="50"/>
      <c r="K200" s="50"/>
      <c r="L200" s="50"/>
      <c r="M200" s="50"/>
      <c r="N200" s="50"/>
      <c r="O200" s="50"/>
      <c r="P200" s="50"/>
      <c r="Q200" s="50"/>
      <c r="R200" s="50"/>
      <c r="S200" s="50"/>
      <c r="T200" s="50"/>
      <c r="U200" s="50"/>
      <c r="V200" s="50" t="s">
        <v>45</v>
      </c>
      <c r="W200" s="50" t="s">
        <v>45</v>
      </c>
      <c r="X200" s="50" t="s">
        <v>45</v>
      </c>
      <c r="Y200" s="50" t="s">
        <v>45</v>
      </c>
      <c r="Z200" s="50" t="s">
        <v>45</v>
      </c>
      <c r="AA200" s="50"/>
      <c r="AB200" s="50"/>
      <c r="AC200" s="50"/>
    </row>
    <row r="201">
      <c r="A201" s="48"/>
      <c r="B201" s="49"/>
      <c r="C201" s="48"/>
      <c r="D201" s="50" t="str">
        <f>IFERROR(__xludf.DUMMYFUNCTION("""COMPUTED_VALUE"""),"")</f>
        <v/>
      </c>
      <c r="E201" s="50"/>
      <c r="F201" s="50"/>
      <c r="G201" s="50"/>
      <c r="H201" s="50" t="s">
        <v>1710</v>
      </c>
      <c r="I201" s="50"/>
      <c r="J201" s="50"/>
      <c r="K201" s="50"/>
      <c r="L201" s="50"/>
      <c r="M201" s="50"/>
      <c r="N201" s="50"/>
      <c r="O201" s="50"/>
      <c r="P201" s="50"/>
      <c r="Q201" s="50"/>
      <c r="R201" s="50"/>
      <c r="S201" s="50"/>
      <c r="T201" s="50"/>
      <c r="U201" s="50"/>
      <c r="V201" s="50"/>
      <c r="W201" s="50"/>
      <c r="X201" s="50"/>
      <c r="Y201" s="50"/>
      <c r="Z201" s="50"/>
      <c r="AA201" s="50"/>
      <c r="AB201" s="50"/>
      <c r="AC201" s="50"/>
    </row>
    <row r="202">
      <c r="A202" s="48" t="s">
        <v>2417</v>
      </c>
      <c r="B202" s="49" t="s">
        <v>2418</v>
      </c>
      <c r="C202" s="48" t="s">
        <v>2419</v>
      </c>
      <c r="D202" s="50" t="str">
        <f>IFERROR(__xludf.DUMMYFUNCTION("""COMPUTED_VALUE"""),"Minuscule")</f>
        <v>Minuscule</v>
      </c>
      <c r="E202" s="50"/>
      <c r="F202" s="50" t="s">
        <v>2420</v>
      </c>
      <c r="G202" s="50" t="s">
        <v>2420</v>
      </c>
      <c r="H202" s="50" t="s">
        <v>1710</v>
      </c>
      <c r="I202" s="50"/>
      <c r="J202" s="50"/>
      <c r="K202" s="50"/>
      <c r="L202" s="50"/>
      <c r="M202" s="50"/>
      <c r="N202" s="50"/>
      <c r="O202" s="50"/>
      <c r="P202" s="50"/>
      <c r="Q202" s="50"/>
      <c r="R202" s="50"/>
      <c r="S202" s="50"/>
      <c r="T202" s="50"/>
      <c r="U202" s="50"/>
      <c r="V202" s="50" t="s">
        <v>2419</v>
      </c>
      <c r="W202" s="50" t="s">
        <v>45</v>
      </c>
      <c r="X202" s="50" t="s">
        <v>45</v>
      </c>
      <c r="Y202" s="50" t="s">
        <v>45</v>
      </c>
      <c r="Z202" s="50" t="s">
        <v>45</v>
      </c>
      <c r="AA202" s="50"/>
      <c r="AB202" s="50"/>
      <c r="AC202" s="50"/>
    </row>
    <row r="203">
      <c r="A203" s="48" t="s">
        <v>2417</v>
      </c>
      <c r="B203" s="49" t="s">
        <v>2421</v>
      </c>
      <c r="C203" s="48" t="s">
        <v>2422</v>
      </c>
      <c r="D203" s="50" t="str">
        <f>IFERROR(__xludf.DUMMYFUNCTION("""COMPUTED_VALUE"""),"Très Léger / Petit")</f>
        <v>Très Léger / Petit</v>
      </c>
      <c r="E203" s="50"/>
      <c r="F203" s="50" t="s">
        <v>2423</v>
      </c>
      <c r="G203" s="50" t="s">
        <v>2423</v>
      </c>
      <c r="H203" s="50" t="s">
        <v>1710</v>
      </c>
      <c r="I203" s="50"/>
      <c r="J203" s="50"/>
      <c r="K203" s="50"/>
      <c r="L203" s="50"/>
      <c r="M203" s="50"/>
      <c r="N203" s="50"/>
      <c r="O203" s="50"/>
      <c r="P203" s="50"/>
      <c r="Q203" s="50"/>
      <c r="R203" s="50"/>
      <c r="S203" s="50"/>
      <c r="T203" s="50"/>
      <c r="U203" s="50"/>
      <c r="V203" s="50" t="s">
        <v>2422</v>
      </c>
      <c r="W203" s="50" t="s">
        <v>45</v>
      </c>
      <c r="X203" s="50" t="s">
        <v>45</v>
      </c>
      <c r="Y203" s="50" t="s">
        <v>45</v>
      </c>
      <c r="Z203" s="50" t="s">
        <v>45</v>
      </c>
      <c r="AA203" s="50"/>
      <c r="AB203" s="50"/>
      <c r="AC203" s="50"/>
    </row>
    <row r="204">
      <c r="A204" s="48" t="s">
        <v>2417</v>
      </c>
      <c r="B204" s="49" t="s">
        <v>2424</v>
      </c>
      <c r="C204" s="48" t="s">
        <v>2425</v>
      </c>
      <c r="D204" s="50" t="str">
        <f>IFERROR(__xludf.DUMMYFUNCTION("""COMPUTED_VALUE"""),"Ni Grand Ni Petit")</f>
        <v>Ni Grand Ni Petit</v>
      </c>
      <c r="E204" s="50"/>
      <c r="F204" s="50" t="s">
        <v>2426</v>
      </c>
      <c r="G204" s="50" t="s">
        <v>2426</v>
      </c>
      <c r="H204" s="50" t="s">
        <v>2387</v>
      </c>
      <c r="I204" s="50"/>
      <c r="J204" s="50"/>
      <c r="K204" s="50"/>
      <c r="L204" s="50"/>
      <c r="M204" s="50"/>
      <c r="N204" s="50"/>
      <c r="O204" s="50"/>
      <c r="P204" s="50"/>
      <c r="Q204" s="50"/>
      <c r="R204" s="50"/>
      <c r="S204" s="50"/>
      <c r="T204" s="50"/>
      <c r="U204" s="50"/>
      <c r="V204" s="50" t="s">
        <v>2425</v>
      </c>
      <c r="W204" s="50" t="s">
        <v>2242</v>
      </c>
      <c r="X204" s="50" t="s">
        <v>2307</v>
      </c>
      <c r="Y204" s="50" t="s">
        <v>45</v>
      </c>
      <c r="Z204" s="50" t="s">
        <v>45</v>
      </c>
      <c r="AA204" s="50"/>
      <c r="AB204" s="50"/>
      <c r="AC204" s="50"/>
    </row>
    <row r="205">
      <c r="A205" s="48" t="s">
        <v>2417</v>
      </c>
      <c r="B205" s="49" t="s">
        <v>2427</v>
      </c>
      <c r="C205" s="48" t="s">
        <v>2428</v>
      </c>
      <c r="D205" s="50" t="str">
        <f>IFERROR(__xludf.DUMMYFUNCTION("""COMPUTED_VALUE"""),"Fort / Grand")</f>
        <v>Fort / Grand</v>
      </c>
      <c r="E205" s="50"/>
      <c r="F205" s="50" t="s">
        <v>2429</v>
      </c>
      <c r="G205" s="50" t="s">
        <v>2429</v>
      </c>
      <c r="H205" s="50" t="s">
        <v>1710</v>
      </c>
      <c r="I205" s="50"/>
      <c r="J205" s="50"/>
      <c r="K205" s="50"/>
      <c r="L205" s="50"/>
      <c r="M205" s="50"/>
      <c r="N205" s="50"/>
      <c r="O205" s="50"/>
      <c r="P205" s="50"/>
      <c r="Q205" s="50"/>
      <c r="R205" s="50"/>
      <c r="S205" s="50"/>
      <c r="T205" s="50"/>
      <c r="U205" s="50"/>
      <c r="V205" s="50" t="s">
        <v>2428</v>
      </c>
      <c r="W205" s="50" t="s">
        <v>45</v>
      </c>
      <c r="X205" s="50" t="s">
        <v>45</v>
      </c>
      <c r="Y205" s="50" t="s">
        <v>45</v>
      </c>
      <c r="Z205" s="50" t="s">
        <v>45</v>
      </c>
      <c r="AA205" s="50"/>
      <c r="AB205" s="50"/>
      <c r="AC205" s="50"/>
    </row>
    <row r="206">
      <c r="A206" s="48" t="s">
        <v>2417</v>
      </c>
      <c r="B206" s="49" t="s">
        <v>2430</v>
      </c>
      <c r="C206" s="48" t="s">
        <v>2431</v>
      </c>
      <c r="D206" s="50" t="str">
        <f>IFERROR(__xludf.DUMMYFUNCTION("""COMPUTED_VALUE"""),"Énorme!")</f>
        <v>Énorme!</v>
      </c>
      <c r="E206" s="50"/>
      <c r="F206" s="50" t="s">
        <v>2432</v>
      </c>
      <c r="G206" s="50" t="s">
        <v>2432</v>
      </c>
      <c r="H206" s="50" t="s">
        <v>1710</v>
      </c>
      <c r="I206" s="50"/>
      <c r="J206" s="50"/>
      <c r="K206" s="50"/>
      <c r="L206" s="50"/>
      <c r="M206" s="50"/>
      <c r="N206" s="50"/>
      <c r="O206" s="50"/>
      <c r="P206" s="50"/>
      <c r="Q206" s="50"/>
      <c r="R206" s="50"/>
      <c r="S206" s="50"/>
      <c r="T206" s="50"/>
      <c r="U206" s="50"/>
      <c r="V206" s="50" t="s">
        <v>2431</v>
      </c>
      <c r="W206" s="50" t="s">
        <v>45</v>
      </c>
      <c r="X206" s="50" t="s">
        <v>45</v>
      </c>
      <c r="Y206" s="50" t="s">
        <v>45</v>
      </c>
      <c r="Z206" s="50" t="s">
        <v>45</v>
      </c>
      <c r="AA206" s="50"/>
      <c r="AB206" s="50"/>
      <c r="AC206" s="50"/>
    </row>
    <row r="207">
      <c r="A207" s="48"/>
      <c r="B207" s="49"/>
      <c r="C207" s="48"/>
      <c r="D207" s="50" t="str">
        <f>IFERROR(__xludf.DUMMYFUNCTION("""COMPUTED_VALUE"""),"")</f>
        <v/>
      </c>
      <c r="E207" s="50"/>
      <c r="F207" s="50"/>
      <c r="G207" s="50"/>
      <c r="H207" s="50" t="s">
        <v>1710</v>
      </c>
      <c r="I207" s="50"/>
      <c r="J207" s="50"/>
      <c r="K207" s="50"/>
      <c r="L207" s="50"/>
      <c r="M207" s="50"/>
      <c r="N207" s="50"/>
      <c r="O207" s="50"/>
      <c r="P207" s="50"/>
      <c r="Q207" s="50"/>
      <c r="R207" s="50"/>
      <c r="S207" s="50"/>
      <c r="T207" s="50"/>
      <c r="U207" s="50"/>
      <c r="V207" s="50" t="s">
        <v>45</v>
      </c>
      <c r="W207" s="50" t="s">
        <v>45</v>
      </c>
      <c r="X207" s="50" t="s">
        <v>45</v>
      </c>
      <c r="Y207" s="50" t="s">
        <v>45</v>
      </c>
      <c r="Z207" s="50" t="s">
        <v>45</v>
      </c>
      <c r="AA207" s="50"/>
      <c r="AB207" s="50"/>
      <c r="AC207" s="50"/>
    </row>
    <row r="208">
      <c r="A208" s="48"/>
      <c r="B208" s="49"/>
      <c r="C208" s="48"/>
      <c r="D208" s="50" t="str">
        <f>IFERROR(__xludf.DUMMYFUNCTION("""COMPUTED_VALUE"""),"")</f>
        <v/>
      </c>
      <c r="E208" s="50"/>
      <c r="F208" s="50"/>
      <c r="G208" s="50"/>
      <c r="H208" s="50" t="s">
        <v>1710</v>
      </c>
      <c r="I208" s="50"/>
      <c r="J208" s="50"/>
      <c r="K208" s="50"/>
      <c r="L208" s="50"/>
      <c r="M208" s="50"/>
      <c r="N208" s="50"/>
      <c r="O208" s="50"/>
      <c r="P208" s="50"/>
      <c r="Q208" s="50"/>
      <c r="R208" s="50"/>
      <c r="S208" s="50"/>
      <c r="T208" s="50"/>
      <c r="U208" s="50"/>
      <c r="V208" s="50"/>
      <c r="W208" s="50"/>
      <c r="X208" s="50"/>
      <c r="Y208" s="50"/>
      <c r="Z208" s="50"/>
      <c r="AA208" s="50"/>
      <c r="AB208" s="50"/>
      <c r="AC208" s="50"/>
    </row>
    <row r="209">
      <c r="A209" s="48" t="s">
        <v>2433</v>
      </c>
      <c r="B209" s="49" t="s">
        <v>2434</v>
      </c>
      <c r="C209" s="48" t="s">
        <v>2435</v>
      </c>
      <c r="D209" s="50" t="str">
        <f>IFERROR(__xludf.DUMMYFUNCTION("""COMPUTED_VALUE"""),"Moins De 15 Min")</f>
        <v>Moins De 15 Min</v>
      </c>
      <c r="E209" s="50"/>
      <c r="F209" s="50" t="s">
        <v>2436</v>
      </c>
      <c r="G209" s="50" t="s">
        <v>2436</v>
      </c>
      <c r="H209" s="50" t="s">
        <v>1710</v>
      </c>
      <c r="I209" s="50"/>
      <c r="J209" s="50"/>
      <c r="K209" s="50"/>
      <c r="L209" s="50"/>
      <c r="M209" s="50"/>
      <c r="N209" s="50"/>
      <c r="O209" s="50"/>
      <c r="P209" s="50"/>
      <c r="Q209" s="50"/>
      <c r="R209" s="50"/>
      <c r="S209" s="50"/>
      <c r="T209" s="50"/>
      <c r="U209" s="50"/>
      <c r="V209" s="50" t="s">
        <v>2435</v>
      </c>
      <c r="W209" s="50" t="s">
        <v>45</v>
      </c>
      <c r="X209" s="50" t="s">
        <v>45</v>
      </c>
      <c r="Y209" s="50" t="s">
        <v>45</v>
      </c>
      <c r="Z209" s="50" t="s">
        <v>45</v>
      </c>
      <c r="AA209" s="50"/>
      <c r="AB209" s="50"/>
      <c r="AC209" s="50"/>
    </row>
    <row r="210">
      <c r="A210" s="48" t="s">
        <v>2433</v>
      </c>
      <c r="B210" s="49" t="s">
        <v>2437</v>
      </c>
      <c r="C210" s="48" t="s">
        <v>2438</v>
      </c>
      <c r="D210" s="50" t="str">
        <f>IFERROR(__xludf.DUMMYFUNCTION("""COMPUTED_VALUE"""),"Moins D'Une Heure")</f>
        <v>Moins D'Une Heure</v>
      </c>
      <c r="E210" s="50"/>
      <c r="F210" s="50" t="s">
        <v>2439</v>
      </c>
      <c r="G210" s="50" t="s">
        <v>2439</v>
      </c>
      <c r="H210" s="50" t="s">
        <v>1710</v>
      </c>
      <c r="I210" s="50"/>
      <c r="J210" s="50"/>
      <c r="K210" s="50"/>
      <c r="L210" s="50"/>
      <c r="M210" s="50"/>
      <c r="N210" s="50"/>
      <c r="O210" s="50"/>
      <c r="P210" s="50"/>
      <c r="Q210" s="50"/>
      <c r="R210" s="50"/>
      <c r="S210" s="50"/>
      <c r="T210" s="50"/>
      <c r="U210" s="50"/>
      <c r="V210" s="50" t="s">
        <v>2438</v>
      </c>
      <c r="W210" s="50" t="s">
        <v>45</v>
      </c>
      <c r="X210" s="50" t="s">
        <v>45</v>
      </c>
      <c r="Y210" s="50" t="s">
        <v>45</v>
      </c>
      <c r="Z210" s="50" t="s">
        <v>45</v>
      </c>
      <c r="AA210" s="50"/>
      <c r="AB210" s="50"/>
      <c r="AC210" s="50"/>
    </row>
    <row r="211">
      <c r="A211" s="48" t="s">
        <v>2433</v>
      </c>
      <c r="B211" s="49" t="s">
        <v>2440</v>
      </c>
      <c r="C211" s="48" t="s">
        <v>2441</v>
      </c>
      <c r="D211" s="50" t="str">
        <f>IFERROR(__xludf.DUMMYFUNCTION("""COMPUTED_VALUE"""),"Moins De 2 Heures")</f>
        <v>Moins De 2 Heures</v>
      </c>
      <c r="E211" s="50"/>
      <c r="F211" s="50" t="s">
        <v>2442</v>
      </c>
      <c r="G211" s="50" t="s">
        <v>2442</v>
      </c>
      <c r="H211" s="50" t="s">
        <v>1710</v>
      </c>
      <c r="I211" s="50"/>
      <c r="J211" s="50"/>
      <c r="K211" s="50"/>
      <c r="L211" s="50"/>
      <c r="M211" s="50"/>
      <c r="N211" s="50"/>
      <c r="O211" s="50"/>
      <c r="P211" s="50"/>
      <c r="Q211" s="50"/>
      <c r="R211" s="50"/>
      <c r="S211" s="50"/>
      <c r="T211" s="50"/>
      <c r="U211" s="50"/>
      <c r="V211" s="50" t="s">
        <v>2441</v>
      </c>
      <c r="W211" s="50" t="s">
        <v>45</v>
      </c>
      <c r="X211" s="50" t="s">
        <v>45</v>
      </c>
      <c r="Y211" s="50" t="s">
        <v>45</v>
      </c>
      <c r="Z211" s="50" t="s">
        <v>45</v>
      </c>
      <c r="AA211" s="50"/>
      <c r="AB211" s="50"/>
      <c r="AC211" s="50"/>
    </row>
    <row r="212">
      <c r="A212" s="48" t="s">
        <v>2433</v>
      </c>
      <c r="B212" s="49" t="s">
        <v>2443</v>
      </c>
      <c r="C212" s="48" t="s">
        <v>2444</v>
      </c>
      <c r="D212" s="50" t="str">
        <f>IFERROR(__xludf.DUMMYFUNCTION("""COMPUTED_VALUE"""),"Plus De 2 Heures")</f>
        <v>Plus De 2 Heures</v>
      </c>
      <c r="E212" s="50"/>
      <c r="F212" s="50" t="s">
        <v>2445</v>
      </c>
      <c r="G212" s="50" t="s">
        <v>2445</v>
      </c>
      <c r="H212" s="50" t="s">
        <v>1710</v>
      </c>
      <c r="I212" s="50"/>
      <c r="J212" s="50"/>
      <c r="K212" s="50"/>
      <c r="L212" s="50"/>
      <c r="M212" s="50"/>
      <c r="N212" s="50"/>
      <c r="O212" s="50"/>
      <c r="P212" s="50"/>
      <c r="Q212" s="50"/>
      <c r="R212" s="50"/>
      <c r="S212" s="50"/>
      <c r="T212" s="50"/>
      <c r="U212" s="50"/>
      <c r="V212" s="50" t="s">
        <v>2444</v>
      </c>
      <c r="W212" s="50" t="s">
        <v>45</v>
      </c>
      <c r="X212" s="50" t="s">
        <v>45</v>
      </c>
      <c r="Y212" s="50" t="s">
        <v>45</v>
      </c>
      <c r="Z212" s="50" t="s">
        <v>45</v>
      </c>
      <c r="AA212" s="50"/>
      <c r="AB212" s="50"/>
      <c r="AC212" s="50"/>
    </row>
    <row r="213">
      <c r="A213" s="48"/>
      <c r="B213" s="49"/>
      <c r="C213" s="48"/>
      <c r="D213" s="50" t="str">
        <f>IFERROR(__xludf.DUMMYFUNCTION("""COMPUTED_VALUE"""),"")</f>
        <v/>
      </c>
      <c r="E213" s="50"/>
      <c r="F213" s="50"/>
      <c r="G213" s="50"/>
      <c r="H213" s="50" t="s">
        <v>1710</v>
      </c>
      <c r="I213" s="50"/>
      <c r="J213" s="50"/>
      <c r="K213" s="50"/>
      <c r="L213" s="50"/>
      <c r="M213" s="50"/>
      <c r="N213" s="50"/>
      <c r="O213" s="50"/>
      <c r="P213" s="50"/>
      <c r="Q213" s="50"/>
      <c r="R213" s="50"/>
      <c r="S213" s="50"/>
      <c r="T213" s="50"/>
      <c r="U213" s="50"/>
      <c r="V213" s="50" t="s">
        <v>45</v>
      </c>
      <c r="W213" s="50" t="s">
        <v>45</v>
      </c>
      <c r="X213" s="50" t="s">
        <v>45</v>
      </c>
      <c r="Y213" s="50" t="s">
        <v>45</v>
      </c>
      <c r="Z213" s="50" t="s">
        <v>45</v>
      </c>
      <c r="AA213" s="50"/>
      <c r="AB213" s="50"/>
      <c r="AC213" s="50"/>
    </row>
    <row r="214">
      <c r="A214" s="48" t="s">
        <v>2446</v>
      </c>
      <c r="B214" s="49" t="s">
        <v>2447</v>
      </c>
      <c r="C214" s="48" t="s">
        <v>2448</v>
      </c>
      <c r="D214" s="50" t="str">
        <f>IFERROR(__xludf.DUMMYFUNCTION("""COMPUTED_VALUE"""),"Moins D'Une Minute")</f>
        <v>Moins D'Une Minute</v>
      </c>
      <c r="E214" s="50"/>
      <c r="F214" s="50" t="s">
        <v>2449</v>
      </c>
      <c r="G214" s="50" t="s">
        <v>2449</v>
      </c>
      <c r="H214" s="50" t="s">
        <v>1710</v>
      </c>
      <c r="I214" s="50"/>
      <c r="J214" s="50"/>
      <c r="K214" s="50"/>
      <c r="L214" s="50"/>
      <c r="M214" s="50"/>
      <c r="N214" s="50"/>
      <c r="O214" s="50"/>
      <c r="P214" s="50"/>
      <c r="Q214" s="50"/>
      <c r="R214" s="50"/>
      <c r="S214" s="50"/>
      <c r="T214" s="50"/>
      <c r="U214" s="50"/>
      <c r="V214" s="50" t="s">
        <v>2448</v>
      </c>
      <c r="W214" s="50" t="s">
        <v>45</v>
      </c>
      <c r="X214" s="50" t="s">
        <v>45</v>
      </c>
      <c r="Y214" s="50" t="s">
        <v>45</v>
      </c>
      <c r="Z214" s="50" t="s">
        <v>45</v>
      </c>
      <c r="AA214" s="50"/>
      <c r="AB214" s="50"/>
      <c r="AC214" s="50"/>
    </row>
    <row r="215">
      <c r="A215" s="48" t="s">
        <v>2446</v>
      </c>
      <c r="B215" s="49" t="s">
        <v>2450</v>
      </c>
      <c r="C215" s="48" t="s">
        <v>2451</v>
      </c>
      <c r="D215" s="50" t="str">
        <f>IFERROR(__xludf.DUMMYFUNCTION("""COMPUTED_VALUE"""),"Moins De 5 Min")</f>
        <v>Moins De 5 Min</v>
      </c>
      <c r="E215" s="50"/>
      <c r="F215" s="50" t="s">
        <v>2452</v>
      </c>
      <c r="G215" s="50" t="s">
        <v>2452</v>
      </c>
      <c r="H215" s="50" t="s">
        <v>1710</v>
      </c>
      <c r="I215" s="50"/>
      <c r="J215" s="50"/>
      <c r="K215" s="50"/>
      <c r="L215" s="50"/>
      <c r="M215" s="50"/>
      <c r="N215" s="50"/>
      <c r="O215" s="50"/>
      <c r="P215" s="50"/>
      <c r="Q215" s="50"/>
      <c r="R215" s="50"/>
      <c r="S215" s="50"/>
      <c r="T215" s="50"/>
      <c r="U215" s="50"/>
      <c r="V215" s="50" t="s">
        <v>2451</v>
      </c>
      <c r="W215" s="50" t="s">
        <v>45</v>
      </c>
      <c r="X215" s="50" t="s">
        <v>45</v>
      </c>
      <c r="Y215" s="50" t="s">
        <v>45</v>
      </c>
      <c r="Z215" s="50" t="s">
        <v>45</v>
      </c>
      <c r="AA215" s="50"/>
      <c r="AB215" s="50"/>
      <c r="AC215" s="50"/>
    </row>
    <row r="216">
      <c r="A216" s="48" t="s">
        <v>2446</v>
      </c>
      <c r="B216" s="49" t="s">
        <v>2453</v>
      </c>
      <c r="C216" s="48" t="s">
        <v>2435</v>
      </c>
      <c r="D216" s="50" t="str">
        <f>IFERROR(__xludf.DUMMYFUNCTION("""COMPUTED_VALUE"""),"Moins De 15 Min")</f>
        <v>Moins De 15 Min</v>
      </c>
      <c r="E216" s="50"/>
      <c r="F216" s="50" t="s">
        <v>2436</v>
      </c>
      <c r="G216" s="50" t="s">
        <v>2436</v>
      </c>
      <c r="H216" s="50" t="s">
        <v>1710</v>
      </c>
      <c r="I216" s="50"/>
      <c r="J216" s="50"/>
      <c r="K216" s="50"/>
      <c r="L216" s="50"/>
      <c r="M216" s="50"/>
      <c r="N216" s="50"/>
      <c r="O216" s="50"/>
      <c r="P216" s="50"/>
      <c r="Q216" s="50"/>
      <c r="R216" s="50"/>
      <c r="S216" s="50"/>
      <c r="T216" s="50"/>
      <c r="U216" s="50"/>
      <c r="V216" s="50" t="s">
        <v>2435</v>
      </c>
      <c r="W216" s="50" t="s">
        <v>45</v>
      </c>
      <c r="X216" s="50" t="s">
        <v>45</v>
      </c>
      <c r="Y216" s="50" t="s">
        <v>45</v>
      </c>
      <c r="Z216" s="50" t="s">
        <v>45</v>
      </c>
      <c r="AA216" s="50"/>
      <c r="AB216" s="50"/>
      <c r="AC216" s="50"/>
    </row>
    <row r="217">
      <c r="A217" s="48" t="s">
        <v>2446</v>
      </c>
      <c r="B217" s="49" t="s">
        <v>2454</v>
      </c>
      <c r="C217" s="48" t="s">
        <v>2455</v>
      </c>
      <c r="D217" s="50" t="str">
        <f>IFERROR(__xludf.DUMMYFUNCTION("""COMPUTED_VALUE"""),"Moins De 30 Minutes")</f>
        <v>Moins De 30 Minutes</v>
      </c>
      <c r="E217" s="50"/>
      <c r="F217" s="50" t="s">
        <v>2456</v>
      </c>
      <c r="G217" s="50" t="s">
        <v>2456</v>
      </c>
      <c r="H217" s="50" t="s">
        <v>1710</v>
      </c>
      <c r="I217" s="50"/>
      <c r="J217" s="50"/>
      <c r="K217" s="50"/>
      <c r="L217" s="50"/>
      <c r="M217" s="50"/>
      <c r="N217" s="50"/>
      <c r="O217" s="50"/>
      <c r="P217" s="50"/>
      <c r="Q217" s="50"/>
      <c r="R217" s="50"/>
      <c r="S217" s="50"/>
      <c r="T217" s="50"/>
      <c r="U217" s="50"/>
      <c r="V217" s="50" t="s">
        <v>2455</v>
      </c>
      <c r="W217" s="50" t="s">
        <v>45</v>
      </c>
      <c r="X217" s="50" t="s">
        <v>45</v>
      </c>
      <c r="Y217" s="50" t="s">
        <v>45</v>
      </c>
      <c r="Z217" s="50" t="s">
        <v>45</v>
      </c>
      <c r="AA217" s="50"/>
      <c r="AB217" s="50"/>
      <c r="AC217" s="50"/>
    </row>
    <row r="218">
      <c r="A218" s="48" t="s">
        <v>2446</v>
      </c>
      <c r="B218" s="49" t="s">
        <v>2457</v>
      </c>
      <c r="C218" s="48" t="s">
        <v>2458</v>
      </c>
      <c r="D218" s="50" t="str">
        <f>IFERROR(__xludf.DUMMYFUNCTION("""COMPUTED_VALUE"""),"Plus De 30 Min")</f>
        <v>Plus De 30 Min</v>
      </c>
      <c r="E218" s="50"/>
      <c r="F218" s="50" t="s">
        <v>2459</v>
      </c>
      <c r="G218" s="50" t="s">
        <v>2459</v>
      </c>
      <c r="H218" s="50" t="s">
        <v>1710</v>
      </c>
      <c r="I218" s="50"/>
      <c r="J218" s="50"/>
      <c r="K218" s="50"/>
      <c r="L218" s="50"/>
      <c r="M218" s="50"/>
      <c r="N218" s="50"/>
      <c r="O218" s="50"/>
      <c r="P218" s="50"/>
      <c r="Q218" s="50"/>
      <c r="R218" s="50"/>
      <c r="S218" s="50"/>
      <c r="T218" s="50"/>
      <c r="U218" s="50"/>
      <c r="V218" s="50" t="s">
        <v>2458</v>
      </c>
      <c r="W218" s="50" t="s">
        <v>45</v>
      </c>
      <c r="X218" s="50" t="s">
        <v>45</v>
      </c>
      <c r="Y218" s="50" t="s">
        <v>45</v>
      </c>
      <c r="Z218" s="50" t="s">
        <v>45</v>
      </c>
      <c r="AA218" s="50"/>
      <c r="AB218" s="50"/>
      <c r="AC218" s="50"/>
    </row>
    <row r="219">
      <c r="A219" s="48"/>
      <c r="B219" s="49"/>
      <c r="C219" s="48"/>
      <c r="D219" s="50" t="str">
        <f>IFERROR(__xludf.DUMMYFUNCTION("""COMPUTED_VALUE"""),"")</f>
        <v/>
      </c>
      <c r="E219" s="50"/>
      <c r="F219" s="50"/>
      <c r="G219" s="50"/>
      <c r="H219" s="50" t="s">
        <v>1710</v>
      </c>
      <c r="I219" s="50"/>
      <c r="J219" s="50"/>
      <c r="K219" s="50"/>
      <c r="L219" s="50"/>
      <c r="M219" s="50"/>
      <c r="N219" s="50"/>
      <c r="O219" s="50"/>
      <c r="P219" s="50"/>
      <c r="Q219" s="50"/>
      <c r="R219" s="50"/>
      <c r="S219" s="50"/>
      <c r="T219" s="50"/>
      <c r="U219" s="50"/>
      <c r="V219" s="50" t="s">
        <v>45</v>
      </c>
      <c r="W219" s="50" t="s">
        <v>45</v>
      </c>
      <c r="X219" s="50" t="s">
        <v>45</v>
      </c>
      <c r="Y219" s="50" t="s">
        <v>45</v>
      </c>
      <c r="Z219" s="50" t="s">
        <v>45</v>
      </c>
      <c r="AA219" s="50"/>
      <c r="AB219" s="50"/>
      <c r="AC219" s="50"/>
    </row>
    <row r="220">
      <c r="A220" s="48"/>
      <c r="B220" s="49"/>
      <c r="C220" s="48"/>
      <c r="D220" s="50" t="str">
        <f>IFERROR(__xludf.DUMMYFUNCTION("""COMPUTED_VALUE"""),"")</f>
        <v/>
      </c>
      <c r="E220" s="50"/>
      <c r="F220" s="50"/>
      <c r="G220" s="50"/>
      <c r="H220" s="50" t="s">
        <v>1710</v>
      </c>
      <c r="I220" s="50"/>
      <c r="J220" s="50"/>
      <c r="K220" s="50"/>
      <c r="L220" s="50"/>
      <c r="M220" s="50"/>
      <c r="N220" s="50"/>
      <c r="O220" s="50"/>
      <c r="P220" s="50"/>
      <c r="Q220" s="50"/>
      <c r="R220" s="50"/>
      <c r="S220" s="50"/>
      <c r="T220" s="50"/>
      <c r="U220" s="50"/>
      <c r="V220" s="50"/>
      <c r="W220" s="50"/>
      <c r="X220" s="50"/>
      <c r="Y220" s="50"/>
      <c r="Z220" s="50"/>
      <c r="AA220" s="50"/>
      <c r="AB220" s="50"/>
      <c r="AC220" s="50"/>
    </row>
    <row r="221">
      <c r="A221" s="48" t="s">
        <v>1788</v>
      </c>
      <c r="B221" s="49" t="s">
        <v>2460</v>
      </c>
      <c r="C221" s="48" t="s">
        <v>2461</v>
      </c>
      <c r="D221" s="50" t="str">
        <f>IFERROR(__xludf.DUMMYFUNCTION("""COMPUTED_VALUE"""),"Colline De Cajou")</f>
        <v>Colline De Cajou</v>
      </c>
      <c r="E221" s="50"/>
      <c r="F221" s="50" t="s">
        <v>2462</v>
      </c>
      <c r="G221" s="50" t="s">
        <v>2462</v>
      </c>
      <c r="H221" s="50" t="s">
        <v>2463</v>
      </c>
      <c r="I221" s="50"/>
      <c r="J221" s="50"/>
      <c r="K221" s="50"/>
      <c r="L221" s="50"/>
      <c r="M221" s="50"/>
      <c r="N221" s="50"/>
      <c r="O221" s="50"/>
      <c r="P221" s="50"/>
      <c r="Q221" s="50"/>
      <c r="R221" s="50"/>
      <c r="S221" s="50"/>
      <c r="T221" s="50"/>
      <c r="U221" s="50"/>
      <c r="V221" s="50" t="s">
        <v>2461</v>
      </c>
      <c r="W221" s="50" t="s">
        <v>1840</v>
      </c>
      <c r="X221" s="50" t="s">
        <v>2464</v>
      </c>
      <c r="Y221" s="50" t="s">
        <v>45</v>
      </c>
      <c r="Z221" s="50" t="s">
        <v>45</v>
      </c>
      <c r="AA221" s="50"/>
      <c r="AB221" s="50"/>
      <c r="AC221" s="50"/>
    </row>
    <row r="222">
      <c r="A222" s="48" t="s">
        <v>1788</v>
      </c>
      <c r="B222" s="49" t="s">
        <v>2465</v>
      </c>
      <c r="C222" s="48" t="s">
        <v>2466</v>
      </c>
      <c r="D222" s="50" t="str">
        <f>IFERROR(__xludf.DUMMYFUNCTION("""COMPUTED_VALUE"""),"Superficie De La Maison")</f>
        <v>Superficie De La Maison</v>
      </c>
      <c r="E222" s="50"/>
      <c r="F222" s="50" t="s">
        <v>2467</v>
      </c>
      <c r="G222" s="50" t="s">
        <v>2467</v>
      </c>
      <c r="H222" s="50" t="s">
        <v>1710</v>
      </c>
      <c r="I222" s="50"/>
      <c r="J222" s="50"/>
      <c r="K222" s="50"/>
      <c r="L222" s="50"/>
      <c r="M222" s="50"/>
      <c r="N222" s="50"/>
      <c r="O222" s="50"/>
      <c r="P222" s="50"/>
      <c r="Q222" s="50"/>
      <c r="R222" s="50"/>
      <c r="S222" s="50"/>
      <c r="T222" s="50"/>
      <c r="U222" s="50"/>
      <c r="V222" s="50" t="s">
        <v>2466</v>
      </c>
      <c r="W222" s="50" t="s">
        <v>45</v>
      </c>
      <c r="X222" s="50" t="s">
        <v>45</v>
      </c>
      <c r="Y222" s="50" t="s">
        <v>45</v>
      </c>
      <c r="Z222" s="50" t="s">
        <v>45</v>
      </c>
      <c r="AA222" s="50"/>
      <c r="AB222" s="50"/>
      <c r="AC222" s="50"/>
    </row>
    <row r="223">
      <c r="A223" s="48" t="s">
        <v>1788</v>
      </c>
      <c r="B223" s="49" t="s">
        <v>796</v>
      </c>
      <c r="C223" s="48" t="s">
        <v>2468</v>
      </c>
      <c r="D223" s="50" t="str">
        <f>IFERROR(__xludf.DUMMYFUNCTION("""COMPUTED_VALUE"""),"Ruisseau")</f>
        <v>Ruisseau</v>
      </c>
      <c r="E223" s="50"/>
      <c r="F223" s="50" t="s">
        <v>2469</v>
      </c>
      <c r="G223" s="50" t="s">
        <v>2469</v>
      </c>
      <c r="H223" s="50" t="s">
        <v>1710</v>
      </c>
      <c r="I223" s="50"/>
      <c r="J223" s="50"/>
      <c r="K223" s="50"/>
      <c r="L223" s="50"/>
      <c r="M223" s="50"/>
      <c r="N223" s="50"/>
      <c r="O223" s="50"/>
      <c r="P223" s="50"/>
      <c r="Q223" s="50"/>
      <c r="R223" s="50"/>
      <c r="S223" s="50"/>
      <c r="T223" s="50"/>
      <c r="U223" s="50"/>
      <c r="V223" s="50" t="s">
        <v>2468</v>
      </c>
      <c r="W223" s="50" t="s">
        <v>45</v>
      </c>
      <c r="X223" s="50" t="s">
        <v>45</v>
      </c>
      <c r="Y223" s="50" t="s">
        <v>45</v>
      </c>
      <c r="Z223" s="50" t="s">
        <v>45</v>
      </c>
      <c r="AA223" s="50"/>
      <c r="AB223" s="50"/>
      <c r="AC223" s="50"/>
    </row>
    <row r="224">
      <c r="A224" s="48" t="s">
        <v>1788</v>
      </c>
      <c r="B224" s="49" t="s">
        <v>2470</v>
      </c>
      <c r="C224" s="48" t="s">
        <v>2471</v>
      </c>
      <c r="D224" s="50" t="str">
        <f>IFERROR(__xludf.DUMMYFUNCTION("""COMPUTED_VALUE"""),"Le Porche À L'Étage De Shelly")</f>
        <v>Le Porche À L'Étage De Shelly</v>
      </c>
      <c r="E224" s="50"/>
      <c r="F224" s="50" t="s">
        <v>2472</v>
      </c>
      <c r="G224" s="50" t="s">
        <v>2472</v>
      </c>
      <c r="H224" s="50" t="s">
        <v>1710</v>
      </c>
      <c r="I224" s="50"/>
      <c r="J224" s="50"/>
      <c r="K224" s="50"/>
      <c r="L224" s="50"/>
      <c r="M224" s="50"/>
      <c r="N224" s="50"/>
      <c r="O224" s="50"/>
      <c r="P224" s="50"/>
      <c r="Q224" s="50"/>
      <c r="R224" s="50"/>
      <c r="S224" s="50"/>
      <c r="T224" s="50"/>
      <c r="U224" s="50"/>
      <c r="V224" s="50" t="s">
        <v>2471</v>
      </c>
      <c r="W224" s="50" t="s">
        <v>45</v>
      </c>
      <c r="X224" s="50" t="s">
        <v>45</v>
      </c>
      <c r="Y224" s="50" t="s">
        <v>45</v>
      </c>
      <c r="Z224" s="50" t="s">
        <v>45</v>
      </c>
      <c r="AA224" s="50"/>
      <c r="AB224" s="50"/>
      <c r="AC224" s="50"/>
    </row>
    <row r="225">
      <c r="A225" s="48" t="s">
        <v>1788</v>
      </c>
      <c r="B225" s="49" t="s">
        <v>2473</v>
      </c>
      <c r="C225" s="48" t="s">
        <v>19</v>
      </c>
      <c r="D225" s="50" t="str">
        <f>IFERROR(__xludf.DUMMYFUNCTION("""COMPUTED_VALUE"""),"Autre")</f>
        <v>Autre</v>
      </c>
      <c r="E225" s="50"/>
      <c r="F225" s="50" t="s">
        <v>1895</v>
      </c>
      <c r="G225" s="50" t="s">
        <v>1895</v>
      </c>
      <c r="H225" s="50" t="s">
        <v>1710</v>
      </c>
      <c r="I225" s="50"/>
      <c r="J225" s="50"/>
      <c r="K225" s="50"/>
      <c r="L225" s="50"/>
      <c r="M225" s="50"/>
      <c r="N225" s="50"/>
      <c r="O225" s="50"/>
      <c r="P225" s="50"/>
      <c r="Q225" s="50"/>
      <c r="R225" s="50"/>
      <c r="S225" s="50"/>
      <c r="T225" s="50"/>
      <c r="U225" s="50"/>
      <c r="V225" s="50" t="s">
        <v>19</v>
      </c>
      <c r="W225" s="50" t="s">
        <v>45</v>
      </c>
      <c r="X225" s="50" t="s">
        <v>45</v>
      </c>
      <c r="Y225" s="50" t="s">
        <v>45</v>
      </c>
      <c r="Z225" s="50" t="s">
        <v>45</v>
      </c>
      <c r="AA225" s="50"/>
      <c r="AB225" s="50"/>
      <c r="AC225" s="50"/>
    </row>
    <row r="226">
      <c r="A226" s="48"/>
      <c r="B226" s="49"/>
      <c r="C226" s="48"/>
      <c r="D226" s="50" t="str">
        <f>IFERROR(__xludf.DUMMYFUNCTION("""COMPUTED_VALUE"""),"")</f>
        <v/>
      </c>
      <c r="E226" s="50"/>
      <c r="F226" s="50"/>
      <c r="G226" s="50"/>
      <c r="H226" s="50" t="s">
        <v>1710</v>
      </c>
      <c r="I226" s="50"/>
      <c r="J226" s="50"/>
      <c r="K226" s="50"/>
      <c r="L226" s="50"/>
      <c r="M226" s="50"/>
      <c r="N226" s="50"/>
      <c r="O226" s="50"/>
      <c r="P226" s="50"/>
      <c r="Q226" s="50"/>
      <c r="R226" s="50"/>
      <c r="S226" s="50"/>
      <c r="T226" s="50"/>
      <c r="U226" s="50"/>
      <c r="V226" s="50" t="s">
        <v>45</v>
      </c>
      <c r="W226" s="50" t="s">
        <v>45</v>
      </c>
      <c r="X226" s="50" t="s">
        <v>45</v>
      </c>
      <c r="Y226" s="50" t="s">
        <v>45</v>
      </c>
      <c r="Z226" s="50" t="s">
        <v>45</v>
      </c>
      <c r="AA226" s="50"/>
      <c r="AB226" s="50"/>
      <c r="AC226" s="50"/>
    </row>
    <row r="227">
      <c r="A227" s="48" t="s">
        <v>2474</v>
      </c>
      <c r="B227" s="49" t="s">
        <v>2475</v>
      </c>
      <c r="C227" s="48" t="s">
        <v>2476</v>
      </c>
      <c r="D227" s="50" t="str">
        <f>IFERROR(__xludf.DUMMYFUNCTION("""COMPUTED_VALUE"""),"Herbe Sèche")</f>
        <v>Herbe Sèche</v>
      </c>
      <c r="E227" s="50"/>
      <c r="F227" s="50" t="s">
        <v>2477</v>
      </c>
      <c r="G227" s="50" t="s">
        <v>2477</v>
      </c>
      <c r="H227" s="50" t="s">
        <v>1710</v>
      </c>
      <c r="I227" s="50"/>
      <c r="J227" s="50"/>
      <c r="K227" s="50"/>
      <c r="L227" s="50"/>
      <c r="M227" s="50"/>
      <c r="N227" s="50"/>
      <c r="O227" s="50"/>
      <c r="P227" s="50"/>
      <c r="Q227" s="50"/>
      <c r="R227" s="50"/>
      <c r="S227" s="50"/>
      <c r="T227" s="50"/>
      <c r="U227" s="50"/>
      <c r="V227" s="50" t="s">
        <v>2476</v>
      </c>
      <c r="W227" s="50" t="s">
        <v>45</v>
      </c>
      <c r="X227" s="50" t="s">
        <v>45</v>
      </c>
      <c r="Y227" s="50" t="s">
        <v>45</v>
      </c>
      <c r="Z227" s="50" t="s">
        <v>45</v>
      </c>
      <c r="AA227" s="50"/>
      <c r="AB227" s="50"/>
      <c r="AC227" s="50"/>
    </row>
    <row r="228">
      <c r="A228" s="48" t="s">
        <v>2474</v>
      </c>
      <c r="B228" s="49" t="s">
        <v>2478</v>
      </c>
      <c r="C228" s="48" t="s">
        <v>2479</v>
      </c>
      <c r="D228" s="50" t="str">
        <f>IFERROR(__xludf.DUMMYFUNCTION("""COMPUTED_VALUE"""),"Herbe Fraîche")</f>
        <v>Herbe Fraîche</v>
      </c>
      <c r="E228" s="50"/>
      <c r="F228" s="50" t="s">
        <v>2480</v>
      </c>
      <c r="G228" s="50" t="s">
        <v>2480</v>
      </c>
      <c r="H228" s="50" t="s">
        <v>1710</v>
      </c>
      <c r="I228" s="50"/>
      <c r="J228" s="50"/>
      <c r="K228" s="50"/>
      <c r="L228" s="50"/>
      <c r="M228" s="50"/>
      <c r="N228" s="50"/>
      <c r="O228" s="50"/>
      <c r="P228" s="50"/>
      <c r="Q228" s="50"/>
      <c r="R228" s="50"/>
      <c r="S228" s="50"/>
      <c r="T228" s="50"/>
      <c r="U228" s="50"/>
      <c r="V228" s="50" t="s">
        <v>2479</v>
      </c>
      <c r="W228" s="50" t="s">
        <v>45</v>
      </c>
      <c r="X228" s="50" t="s">
        <v>45</v>
      </c>
      <c r="Y228" s="50" t="s">
        <v>45</v>
      </c>
      <c r="Z228" s="50" t="s">
        <v>45</v>
      </c>
      <c r="AA228" s="50"/>
      <c r="AB228" s="50"/>
      <c r="AC228" s="50"/>
    </row>
    <row r="229">
      <c r="A229" s="48" t="s">
        <v>2474</v>
      </c>
      <c r="B229" s="49" t="s">
        <v>2481</v>
      </c>
      <c r="C229" s="48" t="s">
        <v>2482</v>
      </c>
      <c r="D229" s="50" t="str">
        <f>IFERROR(__xludf.DUMMYFUNCTION("""COMPUTED_VALUE"""),"Feuilles Sèches")</f>
        <v>Feuilles Sèches</v>
      </c>
      <c r="E229" s="50"/>
      <c r="F229" s="50" t="s">
        <v>2483</v>
      </c>
      <c r="G229" s="50" t="s">
        <v>2483</v>
      </c>
      <c r="H229" s="50" t="s">
        <v>1710</v>
      </c>
      <c r="I229" s="50"/>
      <c r="J229" s="50"/>
      <c r="K229" s="50"/>
      <c r="L229" s="50"/>
      <c r="M229" s="50"/>
      <c r="N229" s="50"/>
      <c r="O229" s="50"/>
      <c r="P229" s="50"/>
      <c r="Q229" s="50"/>
      <c r="R229" s="50"/>
      <c r="S229" s="50"/>
      <c r="T229" s="50"/>
      <c r="U229" s="50"/>
      <c r="V229" s="50" t="s">
        <v>2482</v>
      </c>
      <c r="W229" s="50" t="s">
        <v>45</v>
      </c>
      <c r="X229" s="50" t="s">
        <v>45</v>
      </c>
      <c r="Y229" s="50" t="s">
        <v>45</v>
      </c>
      <c r="Z229" s="50" t="s">
        <v>45</v>
      </c>
      <c r="AA229" s="50"/>
      <c r="AB229" s="50"/>
      <c r="AC229" s="50"/>
    </row>
    <row r="230">
      <c r="A230" s="48" t="s">
        <v>2474</v>
      </c>
      <c r="B230" s="49" t="s">
        <v>2484</v>
      </c>
      <c r="C230" s="48" t="s">
        <v>2485</v>
      </c>
      <c r="D230" s="50" t="str">
        <f>IFERROR(__xludf.DUMMYFUNCTION("""COMPUTED_VALUE"""),"Feuilles Fraîches")</f>
        <v>Feuilles Fraîches</v>
      </c>
      <c r="E230" s="50"/>
      <c r="F230" s="50" t="s">
        <v>2486</v>
      </c>
      <c r="G230" s="50" t="s">
        <v>2486</v>
      </c>
      <c r="H230" s="50" t="s">
        <v>1710</v>
      </c>
      <c r="I230" s="50"/>
      <c r="J230" s="50"/>
      <c r="K230" s="50"/>
      <c r="L230" s="50"/>
      <c r="M230" s="50"/>
      <c r="N230" s="50"/>
      <c r="O230" s="50"/>
      <c r="P230" s="50"/>
      <c r="Q230" s="50"/>
      <c r="R230" s="50"/>
      <c r="S230" s="50"/>
      <c r="T230" s="50"/>
      <c r="U230" s="50"/>
      <c r="V230" s="50" t="s">
        <v>2485</v>
      </c>
      <c r="W230" s="50" t="s">
        <v>45</v>
      </c>
      <c r="X230" s="50" t="s">
        <v>45</v>
      </c>
      <c r="Y230" s="50" t="s">
        <v>45</v>
      </c>
      <c r="Z230" s="50" t="s">
        <v>45</v>
      </c>
      <c r="AA230" s="50"/>
      <c r="AB230" s="50"/>
      <c r="AC230" s="50"/>
    </row>
    <row r="231">
      <c r="A231" s="48"/>
      <c r="B231" s="49"/>
      <c r="C231" s="48"/>
      <c r="D231" s="50" t="str">
        <f>IFERROR(__xludf.DUMMYFUNCTION("""COMPUTED_VALUE"""),"")</f>
        <v/>
      </c>
      <c r="E231" s="50"/>
      <c r="F231" s="50"/>
      <c r="G231" s="50"/>
      <c r="H231" s="50" t="s">
        <v>1710</v>
      </c>
      <c r="I231" s="50"/>
      <c r="J231" s="50"/>
      <c r="K231" s="50"/>
      <c r="L231" s="50"/>
      <c r="M231" s="50"/>
      <c r="N231" s="50"/>
      <c r="O231" s="50"/>
      <c r="P231" s="50"/>
      <c r="Q231" s="50"/>
      <c r="R231" s="50"/>
      <c r="S231" s="50"/>
      <c r="T231" s="50"/>
      <c r="U231" s="50"/>
      <c r="V231" s="50" t="s">
        <v>45</v>
      </c>
      <c r="W231" s="50" t="s">
        <v>45</v>
      </c>
      <c r="X231" s="50" t="s">
        <v>45</v>
      </c>
      <c r="Y231" s="50" t="s">
        <v>45</v>
      </c>
      <c r="Z231" s="50" t="s">
        <v>45</v>
      </c>
      <c r="AA231" s="50"/>
      <c r="AB231" s="50"/>
      <c r="AC231" s="50"/>
    </row>
    <row r="232">
      <c r="A232" s="48" t="s">
        <v>2487</v>
      </c>
      <c r="B232" s="49" t="s">
        <v>2488</v>
      </c>
      <c r="C232" s="48" t="s">
        <v>2489</v>
      </c>
      <c r="D232" s="50" t="str">
        <f>IFERROR(__xludf.DUMMYFUNCTION("""COMPUTED_VALUE"""),"Tout Neuf")</f>
        <v>Tout Neuf</v>
      </c>
      <c r="E232" s="50"/>
      <c r="F232" s="50" t="s">
        <v>2490</v>
      </c>
      <c r="G232" s="50" t="s">
        <v>2490</v>
      </c>
      <c r="H232" s="50" t="s">
        <v>2491</v>
      </c>
      <c r="I232" s="50"/>
      <c r="J232" s="50"/>
      <c r="K232" s="50"/>
      <c r="L232" s="50"/>
      <c r="M232" s="50"/>
      <c r="N232" s="50"/>
      <c r="O232" s="50"/>
      <c r="P232" s="50"/>
      <c r="Q232" s="50"/>
      <c r="R232" s="50"/>
      <c r="S232" s="50"/>
      <c r="T232" s="50"/>
      <c r="U232" s="50"/>
      <c r="V232" s="50" t="s">
        <v>2489</v>
      </c>
      <c r="W232" s="50" t="s">
        <v>2373</v>
      </c>
      <c r="X232" s="50" t="s">
        <v>1796</v>
      </c>
      <c r="Y232" s="50" t="s">
        <v>45</v>
      </c>
      <c r="Z232" s="50" t="s">
        <v>45</v>
      </c>
      <c r="AA232" s="50"/>
      <c r="AB232" s="50"/>
      <c r="AC232" s="50"/>
    </row>
    <row r="233">
      <c r="A233" s="48" t="s">
        <v>2487</v>
      </c>
      <c r="B233" s="49" t="s">
        <v>2492</v>
      </c>
      <c r="C233" s="48" t="s">
        <v>2493</v>
      </c>
      <c r="D233" s="50" t="str">
        <f>IFERROR(__xludf.DUMMYFUNCTION("""COMPUTED_VALUE"""),"Un Peu Nouveau, Un Peu Gâté")</f>
        <v>Un Peu Nouveau, Un Peu Gâté</v>
      </c>
      <c r="E233" s="50"/>
      <c r="F233" s="50" t="s">
        <v>2494</v>
      </c>
      <c r="G233" s="50" t="s">
        <v>2494</v>
      </c>
      <c r="H233" s="50" t="s">
        <v>2495</v>
      </c>
      <c r="I233" s="50"/>
      <c r="J233" s="50"/>
      <c r="K233" s="50"/>
      <c r="L233" s="50"/>
      <c r="M233" s="50"/>
      <c r="N233" s="50"/>
      <c r="O233" s="50"/>
      <c r="P233" s="50"/>
      <c r="Q233" s="50"/>
      <c r="R233" s="50"/>
      <c r="S233" s="50"/>
      <c r="T233" s="50"/>
      <c r="U233" s="50"/>
      <c r="V233" s="50" t="s">
        <v>2496</v>
      </c>
      <c r="W233" s="50" t="s">
        <v>2497</v>
      </c>
      <c r="X233" s="50" t="s">
        <v>2373</v>
      </c>
      <c r="Y233" s="50" t="s">
        <v>1796</v>
      </c>
      <c r="Z233" s="50" t="s">
        <v>45</v>
      </c>
      <c r="AA233" s="50" t="s">
        <v>45</v>
      </c>
      <c r="AB233" s="50"/>
      <c r="AC233" s="50"/>
    </row>
    <row r="234">
      <c r="A234" s="48" t="s">
        <v>2487</v>
      </c>
      <c r="B234" s="49" t="s">
        <v>2498</v>
      </c>
      <c r="C234" s="48" t="s">
        <v>2499</v>
      </c>
      <c r="D234" s="50" t="str">
        <f>IFERROR(__xludf.DUMMYFUNCTION("""COMPUTED_VALUE"""),"Pas Nouveau Pas Beaucoup Gâté")</f>
        <v>Pas Nouveau Pas Beaucoup Gâté</v>
      </c>
      <c r="E234" s="50"/>
      <c r="F234" s="50" t="s">
        <v>2500</v>
      </c>
      <c r="G234" s="50" t="s">
        <v>2500</v>
      </c>
      <c r="H234" s="50" t="s">
        <v>2501</v>
      </c>
      <c r="I234" s="50"/>
      <c r="J234" s="50"/>
      <c r="K234" s="50"/>
      <c r="L234" s="50"/>
      <c r="M234" s="50"/>
      <c r="N234" s="50"/>
      <c r="O234" s="50"/>
      <c r="P234" s="50"/>
      <c r="Q234" s="50"/>
      <c r="R234" s="50"/>
      <c r="S234" s="50"/>
      <c r="T234" s="50"/>
      <c r="U234" s="50"/>
      <c r="V234" s="50" t="s">
        <v>2499</v>
      </c>
      <c r="W234" s="50" t="s">
        <v>2373</v>
      </c>
      <c r="X234" s="50" t="s">
        <v>1796</v>
      </c>
      <c r="Y234" s="50" t="s">
        <v>2242</v>
      </c>
      <c r="Z234" s="50" t="s">
        <v>2307</v>
      </c>
      <c r="AA234" s="50" t="s">
        <v>45</v>
      </c>
      <c r="AB234" s="50"/>
      <c r="AC234" s="50"/>
    </row>
    <row r="235">
      <c r="A235" s="48" t="s">
        <v>2487</v>
      </c>
      <c r="B235" s="49" t="s">
        <v>2502</v>
      </c>
      <c r="C235" s="48" t="s">
        <v>2503</v>
      </c>
      <c r="D235" s="50" t="str">
        <f>IFERROR(__xludf.DUMMYFUNCTION("""COMPUTED_VALUE"""),"Très Gâté, Pas Prêt")</f>
        <v>Très Gâté, Pas Prêt</v>
      </c>
      <c r="E235" s="50"/>
      <c r="F235" s="50" t="s">
        <v>2504</v>
      </c>
      <c r="G235" s="50" t="s">
        <v>2504</v>
      </c>
      <c r="H235" s="50" t="s">
        <v>2505</v>
      </c>
      <c r="I235" s="50"/>
      <c r="J235" s="50"/>
      <c r="K235" s="50"/>
      <c r="L235" s="50"/>
      <c r="M235" s="50"/>
      <c r="N235" s="50"/>
      <c r="O235" s="50"/>
      <c r="P235" s="50"/>
      <c r="Q235" s="50"/>
      <c r="R235" s="50"/>
      <c r="S235" s="50"/>
      <c r="T235" s="50"/>
      <c r="U235" s="50"/>
      <c r="V235" s="50" t="s">
        <v>2506</v>
      </c>
      <c r="W235" s="50" t="s">
        <v>2507</v>
      </c>
      <c r="X235" s="50" t="s">
        <v>2242</v>
      </c>
      <c r="Y235" s="50" t="s">
        <v>2307</v>
      </c>
      <c r="Z235" s="50" t="s">
        <v>45</v>
      </c>
      <c r="AA235" s="50" t="s">
        <v>45</v>
      </c>
      <c r="AB235" s="50"/>
      <c r="AC235" s="50"/>
    </row>
    <row r="236">
      <c r="A236" s="48" t="s">
        <v>2487</v>
      </c>
      <c r="B236" s="49" t="s">
        <v>2508</v>
      </c>
      <c r="C236" s="48" t="s">
        <v>2509</v>
      </c>
      <c r="D236" s="50" t="str">
        <f>IFERROR(__xludf.DUMMYFUNCTION("""COMPUTED_VALUE"""),"Gâté Et Prêt !")</f>
        <v>Gâté Et Prêt !</v>
      </c>
      <c r="E236" s="50"/>
      <c r="F236" s="50" t="s">
        <v>2510</v>
      </c>
      <c r="G236" s="50" t="s">
        <v>2510</v>
      </c>
      <c r="H236" s="50" t="s">
        <v>1710</v>
      </c>
      <c r="I236" s="50"/>
      <c r="J236" s="50"/>
      <c r="K236" s="50"/>
      <c r="L236" s="50"/>
      <c r="M236" s="50"/>
      <c r="N236" s="50"/>
      <c r="O236" s="50"/>
      <c r="P236" s="50"/>
      <c r="Q236" s="50"/>
      <c r="R236" s="50"/>
      <c r="S236" s="50"/>
      <c r="T236" s="50"/>
      <c r="U236" s="50"/>
      <c r="V236" s="50" t="s">
        <v>2509</v>
      </c>
      <c r="W236" s="50" t="s">
        <v>45</v>
      </c>
      <c r="X236" s="50" t="s">
        <v>45</v>
      </c>
      <c r="Y236" s="50" t="s">
        <v>45</v>
      </c>
      <c r="Z236" s="50" t="s">
        <v>45</v>
      </c>
      <c r="AA236" s="50"/>
      <c r="AB236" s="50"/>
      <c r="AC236" s="50"/>
    </row>
    <row r="237">
      <c r="A237" s="48"/>
      <c r="B237" s="49"/>
      <c r="C237" s="48"/>
      <c r="D237" s="50" t="str">
        <f>IFERROR(__xludf.DUMMYFUNCTION("""COMPUTED_VALUE"""),"")</f>
        <v/>
      </c>
      <c r="E237" s="50"/>
      <c r="F237" s="50"/>
      <c r="G237" s="50"/>
      <c r="H237" s="50" t="s">
        <v>1710</v>
      </c>
      <c r="I237" s="50"/>
      <c r="J237" s="50"/>
      <c r="K237" s="50"/>
      <c r="L237" s="50"/>
      <c r="M237" s="50"/>
      <c r="N237" s="50"/>
      <c r="O237" s="50"/>
      <c r="P237" s="50"/>
      <c r="Q237" s="50"/>
      <c r="R237" s="50"/>
      <c r="S237" s="50"/>
      <c r="T237" s="50"/>
      <c r="U237" s="50"/>
      <c r="V237" s="50" t="s">
        <v>45</v>
      </c>
      <c r="W237" s="50" t="s">
        <v>45</v>
      </c>
      <c r="X237" s="50" t="s">
        <v>45</v>
      </c>
      <c r="Y237" s="50" t="s">
        <v>45</v>
      </c>
      <c r="Z237" s="50" t="s">
        <v>45</v>
      </c>
      <c r="AA237" s="50"/>
      <c r="AB237" s="50"/>
      <c r="AC237" s="50"/>
    </row>
    <row r="238">
      <c r="A238" s="48" t="s">
        <v>2511</v>
      </c>
      <c r="B238" s="49" t="s">
        <v>2512</v>
      </c>
      <c r="C238" s="48" t="s">
        <v>2513</v>
      </c>
      <c r="D238" s="50" t="str">
        <f>IFERROR(__xludf.DUMMYFUNCTION("""COMPUTED_VALUE"""),"Fruits Jaunes La X3264")</f>
        <v>Fruits Jaunes La X3264</v>
      </c>
      <c r="E238" s="50"/>
      <c r="F238" s="50" t="s">
        <v>2514</v>
      </c>
      <c r="G238" s="50" t="s">
        <v>2514</v>
      </c>
      <c r="H238" s="50" t="s">
        <v>2515</v>
      </c>
      <c r="I238" s="50"/>
      <c r="J238" s="50"/>
      <c r="K238" s="50"/>
      <c r="L238" s="50"/>
      <c r="M238" s="50"/>
      <c r="N238" s="50"/>
      <c r="O238" s="50"/>
      <c r="P238" s="50" t="s">
        <v>2516</v>
      </c>
      <c r="Q238" s="50" t="s">
        <v>2516</v>
      </c>
      <c r="R238" s="50" t="s">
        <v>2516</v>
      </c>
      <c r="S238" s="50"/>
      <c r="T238" s="50"/>
      <c r="U238" s="50"/>
      <c r="V238" s="50" t="s">
        <v>2513</v>
      </c>
      <c r="W238" s="50" t="s">
        <v>2250</v>
      </c>
      <c r="X238" s="50"/>
      <c r="Y238" s="50"/>
      <c r="Z238" s="50" t="s">
        <v>45</v>
      </c>
      <c r="AA238" s="50"/>
      <c r="AB238" s="50"/>
      <c r="AC238" s="50"/>
    </row>
    <row r="239">
      <c r="A239" s="48" t="s">
        <v>2511</v>
      </c>
      <c r="B239" s="49" t="s">
        <v>2517</v>
      </c>
      <c r="C239" s="48" t="s">
        <v>2518</v>
      </c>
      <c r="D239" s="50" t="str">
        <f>IFERROR(__xludf.DUMMYFUNCTION("""COMPUTED_VALUE"""),"Fruits Rouges La X4297")</f>
        <v>Fruits Rouges La X4297</v>
      </c>
      <c r="E239" s="50"/>
      <c r="F239" s="50" t="s">
        <v>2519</v>
      </c>
      <c r="G239" s="50" t="s">
        <v>2519</v>
      </c>
      <c r="H239" s="50" t="s">
        <v>2520</v>
      </c>
      <c r="I239" s="50"/>
      <c r="J239" s="50"/>
      <c r="K239" s="50"/>
      <c r="L239" s="50"/>
      <c r="M239" s="50"/>
      <c r="N239" s="50"/>
      <c r="O239" s="50"/>
      <c r="P239" s="50" t="s">
        <v>2521</v>
      </c>
      <c r="Q239" s="50" t="s">
        <v>2521</v>
      </c>
      <c r="R239" s="50" t="s">
        <v>2521</v>
      </c>
      <c r="S239" s="50"/>
      <c r="T239" s="50"/>
      <c r="U239" s="50"/>
      <c r="V239" s="50" t="s">
        <v>2518</v>
      </c>
      <c r="W239" s="50" t="s">
        <v>2522</v>
      </c>
      <c r="X239" s="50"/>
      <c r="Y239" s="50"/>
      <c r="Z239" s="50" t="s">
        <v>45</v>
      </c>
      <c r="AA239" s="50"/>
      <c r="AB239" s="50"/>
      <c r="AC239" s="50"/>
    </row>
    <row r="240">
      <c r="A240" s="48" t="s">
        <v>2511</v>
      </c>
      <c r="B240" s="49" t="s">
        <v>2523</v>
      </c>
      <c r="C240" s="48" t="s">
        <v>2524</v>
      </c>
      <c r="D240" s="50" t="str">
        <f>IFERROR(__xludf.DUMMYFUNCTION("""COMPUTED_VALUE"""),"Orange Fruit La Z330")</f>
        <v>Orange Fruit La Z330</v>
      </c>
      <c r="E240" s="50"/>
      <c r="F240" s="50" t="s">
        <v>2525</v>
      </c>
      <c r="G240" s="50" t="s">
        <v>2525</v>
      </c>
      <c r="H240" s="50" t="s">
        <v>2526</v>
      </c>
      <c r="I240" s="50"/>
      <c r="J240" s="50"/>
      <c r="K240" s="50"/>
      <c r="L240" s="50"/>
      <c r="M240" s="50"/>
      <c r="N240" s="50"/>
      <c r="O240" s="50"/>
      <c r="P240" s="50" t="s">
        <v>2527</v>
      </c>
      <c r="Q240" s="50" t="s">
        <v>2527</v>
      </c>
      <c r="R240" s="50" t="s">
        <v>2527</v>
      </c>
      <c r="S240" s="50"/>
      <c r="T240" s="50"/>
      <c r="U240" s="50"/>
      <c r="V240" s="50" t="s">
        <v>2524</v>
      </c>
      <c r="W240" s="50" t="s">
        <v>2528</v>
      </c>
      <c r="X240" s="50"/>
      <c r="Y240" s="50"/>
      <c r="Z240" s="50" t="s">
        <v>45</v>
      </c>
      <c r="AA240" s="50"/>
      <c r="AB240" s="50"/>
      <c r="AC240" s="50"/>
    </row>
    <row r="241">
      <c r="A241" s="48"/>
      <c r="B241" s="49"/>
      <c r="C241" s="48"/>
      <c r="D241" s="50" t="str">
        <f>IFERROR(__xludf.DUMMYFUNCTION("""COMPUTED_VALUE"""),"")</f>
        <v/>
      </c>
      <c r="E241" s="50"/>
      <c r="F241" s="50"/>
      <c r="G241" s="50"/>
      <c r="H241" s="50" t="s">
        <v>1710</v>
      </c>
      <c r="I241" s="50"/>
      <c r="J241" s="50"/>
      <c r="K241" s="50"/>
      <c r="L241" s="50"/>
      <c r="M241" s="50"/>
      <c r="N241" s="50"/>
      <c r="O241" s="50"/>
      <c r="P241" s="50"/>
      <c r="Q241" s="50"/>
      <c r="R241" s="50"/>
      <c r="S241" s="50"/>
      <c r="T241" s="50"/>
      <c r="U241" s="50"/>
      <c r="V241" s="50" t="s">
        <v>45</v>
      </c>
      <c r="W241" s="50" t="s">
        <v>45</v>
      </c>
      <c r="X241" s="50" t="s">
        <v>45</v>
      </c>
      <c r="Y241" s="50" t="s">
        <v>45</v>
      </c>
      <c r="Z241" s="50" t="s">
        <v>45</v>
      </c>
      <c r="AA241" s="50"/>
      <c r="AB241" s="50"/>
      <c r="AC241" s="50"/>
    </row>
    <row r="242">
      <c r="A242" s="48" t="s">
        <v>287</v>
      </c>
      <c r="B242" s="49" t="s">
        <v>2529</v>
      </c>
      <c r="C242" s="48" t="s">
        <v>2530</v>
      </c>
      <c r="D242" s="50" t="str">
        <f>IFERROR(__xludf.DUMMYFUNCTION("""COMPUTED_VALUE"""),"Jaune")</f>
        <v>Jaune</v>
      </c>
      <c r="E242" s="50"/>
      <c r="F242" s="50" t="s">
        <v>2531</v>
      </c>
      <c r="G242" s="50" t="s">
        <v>2531</v>
      </c>
      <c r="H242" s="50" t="s">
        <v>2515</v>
      </c>
      <c r="I242" s="50"/>
      <c r="J242" s="50"/>
      <c r="K242" s="50"/>
      <c r="L242" s="50"/>
      <c r="M242" s="50"/>
      <c r="N242" s="50"/>
      <c r="O242" s="50"/>
      <c r="P242" s="50"/>
      <c r="Q242" s="50"/>
      <c r="R242" s="50"/>
      <c r="S242" s="50"/>
      <c r="T242" s="50"/>
      <c r="U242" s="50"/>
      <c r="V242" s="50" t="s">
        <v>2530</v>
      </c>
      <c r="W242" s="50" t="s">
        <v>2250</v>
      </c>
      <c r="X242" s="50" t="s">
        <v>45</v>
      </c>
      <c r="Y242" s="50" t="s">
        <v>45</v>
      </c>
      <c r="Z242" s="50" t="s">
        <v>45</v>
      </c>
      <c r="AA242" s="50"/>
      <c r="AB242" s="50"/>
      <c r="AC242" s="50"/>
    </row>
    <row r="243">
      <c r="A243" s="48" t="s">
        <v>287</v>
      </c>
      <c r="B243" s="49" t="s">
        <v>2532</v>
      </c>
      <c r="C243" s="48" t="s">
        <v>2533</v>
      </c>
      <c r="D243" s="50" t="str">
        <f>IFERROR(__xludf.DUMMYFUNCTION("""COMPUTED_VALUE"""),"Blanc")</f>
        <v>Blanc</v>
      </c>
      <c r="E243" s="50"/>
      <c r="F243" s="50" t="s">
        <v>2534</v>
      </c>
      <c r="G243" s="50" t="s">
        <v>2534</v>
      </c>
      <c r="H243" s="50" t="s">
        <v>2535</v>
      </c>
      <c r="I243" s="50"/>
      <c r="J243" s="50"/>
      <c r="K243" s="50"/>
      <c r="L243" s="50"/>
      <c r="M243" s="50"/>
      <c r="N243" s="50"/>
      <c r="O243" s="50"/>
      <c r="P243" s="50"/>
      <c r="Q243" s="50"/>
      <c r="R243" s="50"/>
      <c r="S243" s="50"/>
      <c r="T243" s="50"/>
      <c r="U243" s="50"/>
      <c r="V243" s="50" t="s">
        <v>2533</v>
      </c>
      <c r="W243" s="50" t="s">
        <v>2536</v>
      </c>
      <c r="X243" s="50" t="s">
        <v>45</v>
      </c>
      <c r="Y243" s="50" t="s">
        <v>45</v>
      </c>
      <c r="Z243" s="50" t="s">
        <v>45</v>
      </c>
      <c r="AA243" s="50"/>
      <c r="AB243" s="50"/>
      <c r="AC243" s="50"/>
    </row>
    <row r="244">
      <c r="A244" s="48" t="s">
        <v>287</v>
      </c>
      <c r="B244" s="49" t="s">
        <v>2537</v>
      </c>
      <c r="C244" s="48" t="s">
        <v>2538</v>
      </c>
      <c r="D244" s="50" t="str">
        <f>IFERROR(__xludf.DUMMYFUNCTION("""COMPUTED_VALUE"""),"Bleu")</f>
        <v>Bleu</v>
      </c>
      <c r="E244" s="50"/>
      <c r="F244" s="50" t="s">
        <v>2539</v>
      </c>
      <c r="G244" s="50" t="s">
        <v>2539</v>
      </c>
      <c r="H244" s="50" t="s">
        <v>2540</v>
      </c>
      <c r="I244" s="50"/>
      <c r="J244" s="50"/>
      <c r="K244" s="50"/>
      <c r="L244" s="50"/>
      <c r="M244" s="50"/>
      <c r="N244" s="50"/>
      <c r="O244" s="50"/>
      <c r="P244" s="50"/>
      <c r="Q244" s="50"/>
      <c r="R244" s="50"/>
      <c r="S244" s="50"/>
      <c r="T244" s="50"/>
      <c r="U244" s="50"/>
      <c r="V244" s="50" t="s">
        <v>2538</v>
      </c>
      <c r="W244" s="50" t="s">
        <v>2541</v>
      </c>
      <c r="X244" s="50" t="s">
        <v>45</v>
      </c>
      <c r="Y244" s="50" t="s">
        <v>45</v>
      </c>
      <c r="Z244" s="50" t="s">
        <v>45</v>
      </c>
      <c r="AA244" s="50"/>
      <c r="AB244" s="50"/>
      <c r="AC244" s="50"/>
    </row>
    <row r="245">
      <c r="A245" s="48" t="s">
        <v>287</v>
      </c>
      <c r="B245" s="49" t="s">
        <v>2542</v>
      </c>
      <c r="C245" s="48" t="s">
        <v>1916</v>
      </c>
      <c r="D245" s="50" t="str">
        <f>IFERROR(__xludf.DUMMYFUNCTION("""COMPUTED_VALUE"""),"Inconnu")</f>
        <v>Inconnu</v>
      </c>
      <c r="E245" s="50"/>
      <c r="F245" s="50" t="s">
        <v>2543</v>
      </c>
      <c r="G245" s="50" t="s">
        <v>2543</v>
      </c>
      <c r="H245" s="50" t="s">
        <v>1918</v>
      </c>
      <c r="I245" s="50"/>
      <c r="J245" s="50"/>
      <c r="K245" s="50"/>
      <c r="L245" s="50"/>
      <c r="M245" s="50"/>
      <c r="N245" s="50"/>
      <c r="O245" s="50"/>
      <c r="P245" s="50"/>
      <c r="Q245" s="50"/>
      <c r="R245" s="50"/>
      <c r="S245" s="50"/>
      <c r="T245" s="50"/>
      <c r="U245" s="50"/>
      <c r="V245" s="50" t="s">
        <v>1916</v>
      </c>
      <c r="W245" s="50" t="s">
        <v>1919</v>
      </c>
      <c r="X245" s="50"/>
      <c r="Y245" s="50"/>
      <c r="Z245" s="50"/>
      <c r="AA245" s="50" t="s">
        <v>45</v>
      </c>
      <c r="AB245" s="50"/>
      <c r="AC245" s="50"/>
    </row>
    <row r="246">
      <c r="A246" s="48"/>
      <c r="B246" s="49"/>
      <c r="C246" s="48"/>
      <c r="D246" s="50" t="str">
        <f>IFERROR(__xludf.DUMMYFUNCTION("""COMPUTED_VALUE"""),"")</f>
        <v/>
      </c>
      <c r="E246" s="50"/>
      <c r="F246" s="50"/>
      <c r="G246" s="50"/>
      <c r="H246" s="50" t="s">
        <v>1710</v>
      </c>
      <c r="I246" s="50"/>
      <c r="J246" s="50"/>
      <c r="K246" s="50"/>
      <c r="L246" s="50"/>
      <c r="M246" s="50"/>
      <c r="N246" s="50"/>
      <c r="O246" s="50"/>
      <c r="P246" s="50"/>
      <c r="Q246" s="50"/>
      <c r="R246" s="50"/>
      <c r="S246" s="50"/>
      <c r="T246" s="50"/>
      <c r="U246" s="50"/>
      <c r="V246" s="50" t="s">
        <v>45</v>
      </c>
      <c r="W246" s="50" t="s">
        <v>45</v>
      </c>
      <c r="X246" s="50" t="s">
        <v>45</v>
      </c>
      <c r="Y246" s="50" t="s">
        <v>45</v>
      </c>
      <c r="Z246" s="50" t="s">
        <v>45</v>
      </c>
      <c r="AA246" s="50"/>
      <c r="AB246" s="50"/>
      <c r="AC246" s="50"/>
    </row>
    <row r="247">
      <c r="A247" s="48" t="s">
        <v>2544</v>
      </c>
      <c r="B247" s="49" t="s">
        <v>2545</v>
      </c>
      <c r="C247" s="48" t="s">
        <v>2546</v>
      </c>
      <c r="D247" s="50" t="str">
        <f>IFERROR(__xludf.DUMMYFUNCTION("""COMPUTED_VALUE"""),"Pomme De Cajou Et Noix Ensemble")</f>
        <v>Pomme De Cajou Et Noix Ensemble</v>
      </c>
      <c r="E247" s="50"/>
      <c r="F247" s="50" t="s">
        <v>2547</v>
      </c>
      <c r="G247" s="50" t="s">
        <v>2547</v>
      </c>
      <c r="H247" s="50" t="s">
        <v>2463</v>
      </c>
      <c r="I247" s="50"/>
      <c r="J247" s="50"/>
      <c r="K247" s="50"/>
      <c r="L247" s="50"/>
      <c r="M247" s="50"/>
      <c r="N247" s="50"/>
      <c r="O247" s="50"/>
      <c r="P247" s="50"/>
      <c r="Q247" s="50"/>
      <c r="R247" s="50"/>
      <c r="S247" s="50"/>
      <c r="T247" s="50"/>
      <c r="U247" s="50"/>
      <c r="V247" s="50" t="s">
        <v>2546</v>
      </c>
      <c r="W247" s="50" t="s">
        <v>1840</v>
      </c>
      <c r="X247" s="50" t="s">
        <v>2464</v>
      </c>
      <c r="Y247" s="50" t="s">
        <v>45</v>
      </c>
      <c r="Z247" s="50" t="s">
        <v>45</v>
      </c>
      <c r="AA247" s="50"/>
      <c r="AB247" s="50"/>
      <c r="AC247" s="50"/>
    </row>
    <row r="248">
      <c r="A248" s="48" t="s">
        <v>2544</v>
      </c>
      <c r="B248" s="49" t="s">
        <v>2548</v>
      </c>
      <c r="C248" s="48" t="s">
        <v>2549</v>
      </c>
      <c r="D248" s="50" t="str">
        <f>IFERROR(__xludf.DUMMYFUNCTION("""COMPUTED_VALUE"""),"Pomme De Cajou Uniquement")</f>
        <v>Pomme De Cajou Uniquement</v>
      </c>
      <c r="E248" s="50"/>
      <c r="F248" s="50" t="s">
        <v>2550</v>
      </c>
      <c r="G248" s="50" t="s">
        <v>2550</v>
      </c>
      <c r="H248" s="50" t="s">
        <v>2551</v>
      </c>
      <c r="I248" s="50"/>
      <c r="J248" s="50"/>
      <c r="K248" s="50"/>
      <c r="L248" s="50"/>
      <c r="M248" s="50"/>
      <c r="N248" s="50"/>
      <c r="O248" s="50"/>
      <c r="P248" s="50"/>
      <c r="Q248" s="50"/>
      <c r="R248" s="50"/>
      <c r="S248" s="50"/>
      <c r="T248" s="50"/>
      <c r="U248" s="50"/>
      <c r="V248" s="50" t="s">
        <v>2549</v>
      </c>
      <c r="W248" s="50" t="s">
        <v>2464</v>
      </c>
      <c r="X248" s="50" t="s">
        <v>2464</v>
      </c>
      <c r="Y248" s="50" t="s">
        <v>45</v>
      </c>
      <c r="Z248" s="50" t="s">
        <v>45</v>
      </c>
      <c r="AA248" s="50"/>
      <c r="AB248" s="50"/>
      <c r="AC248" s="50"/>
    </row>
    <row r="249">
      <c r="A249" s="48" t="s">
        <v>2544</v>
      </c>
      <c r="B249" s="49" t="s">
        <v>2552</v>
      </c>
      <c r="C249" s="48" t="s">
        <v>2553</v>
      </c>
      <c r="D249" s="50" t="str">
        <f>IFERROR(__xludf.DUMMYFUNCTION("""COMPUTED_VALUE"""),"Graines De Cajou Uniquement")</f>
        <v>Graines De Cajou Uniquement</v>
      </c>
      <c r="E249" s="50"/>
      <c r="F249" s="50" t="s">
        <v>2554</v>
      </c>
      <c r="G249" s="50" t="s">
        <v>2554</v>
      </c>
      <c r="H249" s="50" t="s">
        <v>1839</v>
      </c>
      <c r="I249" s="50"/>
      <c r="J249" s="50"/>
      <c r="K249" s="50"/>
      <c r="L249" s="50"/>
      <c r="M249" s="50"/>
      <c r="N249" s="50"/>
      <c r="O249" s="50"/>
      <c r="P249" s="50"/>
      <c r="Q249" s="50"/>
      <c r="R249" s="50"/>
      <c r="S249" s="50"/>
      <c r="T249" s="50"/>
      <c r="U249" s="50"/>
      <c r="V249" s="50" t="s">
        <v>2553</v>
      </c>
      <c r="W249" s="50" t="s">
        <v>1840</v>
      </c>
      <c r="X249" s="50"/>
      <c r="Y249" s="50"/>
      <c r="Z249" s="50"/>
      <c r="AA249" s="50" t="s">
        <v>45</v>
      </c>
      <c r="AB249" s="50"/>
      <c r="AC249" s="50"/>
    </row>
    <row r="250">
      <c r="A250" s="48"/>
      <c r="B250" s="49"/>
      <c r="C250" s="48"/>
      <c r="D250" s="50" t="str">
        <f>IFERROR(__xludf.DUMMYFUNCTION("""COMPUTED_VALUE"""),"")</f>
        <v/>
      </c>
      <c r="E250" s="50"/>
      <c r="F250" s="50"/>
      <c r="G250" s="50"/>
      <c r="H250" s="50" t="s">
        <v>1710</v>
      </c>
      <c r="I250" s="50"/>
      <c r="J250" s="50"/>
      <c r="K250" s="50"/>
      <c r="L250" s="50"/>
      <c r="M250" s="50"/>
      <c r="N250" s="50"/>
      <c r="O250" s="50"/>
      <c r="P250" s="50"/>
      <c r="Q250" s="50"/>
      <c r="R250" s="50"/>
      <c r="S250" s="50"/>
      <c r="T250" s="50"/>
      <c r="U250" s="50"/>
      <c r="V250" s="50" t="s">
        <v>45</v>
      </c>
      <c r="W250" s="50" t="s">
        <v>45</v>
      </c>
      <c r="X250" s="50" t="s">
        <v>45</v>
      </c>
      <c r="Y250" s="50" t="s">
        <v>45</v>
      </c>
      <c r="Z250" s="50" t="s">
        <v>45</v>
      </c>
      <c r="AA250" s="50"/>
      <c r="AB250" s="50"/>
      <c r="AC250" s="50"/>
    </row>
    <row r="251">
      <c r="A251" s="48" t="s">
        <v>2555</v>
      </c>
      <c r="B251" s="49" t="s">
        <v>2556</v>
      </c>
      <c r="C251" s="48" t="s">
        <v>2557</v>
      </c>
      <c r="D251" s="50" t="str">
        <f>IFERROR(__xludf.DUMMYFUNCTION("""COMPUTED_VALUE"""),"Pomme De Cajou")</f>
        <v>Pomme De Cajou</v>
      </c>
      <c r="E251" s="50"/>
      <c r="F251" s="50" t="s">
        <v>2558</v>
      </c>
      <c r="G251" s="50" t="s">
        <v>2558</v>
      </c>
      <c r="H251" s="50" t="s">
        <v>2559</v>
      </c>
      <c r="I251" s="50"/>
      <c r="J251" s="50"/>
      <c r="K251" s="50"/>
      <c r="L251" s="50"/>
      <c r="M251" s="50"/>
      <c r="N251" s="50"/>
      <c r="O251" s="50"/>
      <c r="P251" s="50"/>
      <c r="Q251" s="50"/>
      <c r="R251" s="50"/>
      <c r="S251" s="50"/>
      <c r="T251" s="50"/>
      <c r="U251" s="50"/>
      <c r="V251" s="50" t="s">
        <v>2557</v>
      </c>
      <c r="W251" s="50" t="s">
        <v>2464</v>
      </c>
      <c r="X251" s="50"/>
      <c r="Y251" s="50" t="s">
        <v>45</v>
      </c>
      <c r="Z251" s="50" t="s">
        <v>45</v>
      </c>
      <c r="AA251" s="50"/>
      <c r="AB251" s="50"/>
      <c r="AC251" s="50"/>
    </row>
    <row r="252">
      <c r="A252" s="48" t="s">
        <v>2555</v>
      </c>
      <c r="B252" s="49" t="s">
        <v>2560</v>
      </c>
      <c r="C252" s="48" t="s">
        <v>2561</v>
      </c>
      <c r="D252" s="50" t="str">
        <f>IFERROR(__xludf.DUMMYFUNCTION("""COMPUTED_VALUE"""),"Graine De Cajou")</f>
        <v>Graine De Cajou</v>
      </c>
      <c r="E252" s="50"/>
      <c r="F252" s="50" t="s">
        <v>2562</v>
      </c>
      <c r="G252" s="50" t="s">
        <v>2562</v>
      </c>
      <c r="H252" s="50" t="s">
        <v>1839</v>
      </c>
      <c r="I252" s="50"/>
      <c r="J252" s="50"/>
      <c r="K252" s="50"/>
      <c r="L252" s="50"/>
      <c r="M252" s="50"/>
      <c r="N252" s="50"/>
      <c r="O252" s="50"/>
      <c r="P252" s="50"/>
      <c r="Q252" s="50"/>
      <c r="R252" s="50"/>
      <c r="S252" s="50"/>
      <c r="T252" s="50"/>
      <c r="U252" s="50"/>
      <c r="V252" s="50" t="s">
        <v>2561</v>
      </c>
      <c r="W252" s="50" t="s">
        <v>1840</v>
      </c>
      <c r="X252" s="50"/>
      <c r="Y252" s="50"/>
      <c r="Z252" s="50"/>
      <c r="AA252" s="50" t="s">
        <v>45</v>
      </c>
      <c r="AB252" s="50"/>
      <c r="AC252" s="50"/>
    </row>
    <row r="253">
      <c r="A253" s="48"/>
      <c r="B253" s="49"/>
      <c r="C253" s="48"/>
      <c r="D253" s="50" t="str">
        <f>IFERROR(__xludf.DUMMYFUNCTION("""COMPUTED_VALUE"""),"")</f>
        <v/>
      </c>
      <c r="E253" s="50"/>
      <c r="F253" s="50"/>
      <c r="G253" s="50"/>
      <c r="H253" s="50" t="s">
        <v>1710</v>
      </c>
      <c r="I253" s="50"/>
      <c r="J253" s="50"/>
      <c r="K253" s="50"/>
      <c r="L253" s="50"/>
      <c r="M253" s="50"/>
      <c r="N253" s="50"/>
      <c r="O253" s="50"/>
      <c r="P253" s="50"/>
      <c r="Q253" s="50"/>
      <c r="R253" s="50"/>
      <c r="S253" s="50"/>
      <c r="T253" s="50"/>
      <c r="U253" s="50"/>
      <c r="V253" s="50" t="s">
        <v>45</v>
      </c>
      <c r="W253" s="50" t="s">
        <v>45</v>
      </c>
      <c r="X253" s="50" t="s">
        <v>45</v>
      </c>
      <c r="Y253" s="50" t="s">
        <v>45</v>
      </c>
      <c r="Z253" s="50" t="s">
        <v>45</v>
      </c>
      <c r="AA253" s="50"/>
      <c r="AB253" s="50"/>
      <c r="AC253" s="50"/>
    </row>
    <row r="254">
      <c r="A254" s="48" t="s">
        <v>2563</v>
      </c>
      <c r="B254" s="49" t="s">
        <v>2564</v>
      </c>
      <c r="C254" s="48" t="s">
        <v>2565</v>
      </c>
      <c r="D254" s="50" t="str">
        <f>IFERROR(__xludf.DUMMYFUNCTION("""COMPUTED_VALUE"""),"Rien (Contrôle)")</f>
        <v>Rien (Contrôle)</v>
      </c>
      <c r="E254" s="50"/>
      <c r="F254" s="50" t="s">
        <v>2566</v>
      </c>
      <c r="G254" s="50" t="s">
        <v>2566</v>
      </c>
      <c r="H254" s="50" t="s">
        <v>2567</v>
      </c>
      <c r="I254" s="50"/>
      <c r="J254" s="50"/>
      <c r="K254" s="50"/>
      <c r="L254" s="50"/>
      <c r="M254" s="50"/>
      <c r="N254" s="50"/>
      <c r="O254" s="50"/>
      <c r="P254" s="50"/>
      <c r="Q254" s="50"/>
      <c r="R254" s="50"/>
      <c r="S254" s="50"/>
      <c r="T254" s="50"/>
      <c r="U254" s="50"/>
      <c r="V254" s="50" t="s">
        <v>2565</v>
      </c>
      <c r="W254" s="50" t="s">
        <v>2242</v>
      </c>
      <c r="X254" s="50"/>
      <c r="Y254" s="50" t="s">
        <v>45</v>
      </c>
      <c r="Z254" s="50" t="s">
        <v>45</v>
      </c>
      <c r="AA254" s="50"/>
      <c r="AB254" s="50"/>
      <c r="AC254" s="50"/>
    </row>
    <row r="255">
      <c r="A255" s="48" t="s">
        <v>2563</v>
      </c>
      <c r="B255" s="49" t="s">
        <v>1783</v>
      </c>
      <c r="C255" s="48" t="s">
        <v>2568</v>
      </c>
      <c r="D255" s="50" t="str">
        <f>IFERROR(__xludf.DUMMYFUNCTION("""COMPUTED_VALUE"""),"Compost + Biochar")</f>
        <v>Compost + Biochar</v>
      </c>
      <c r="E255" s="50"/>
      <c r="F255" s="50" t="s">
        <v>2568</v>
      </c>
      <c r="G255" s="50" t="s">
        <v>2568</v>
      </c>
      <c r="H255" s="50" t="s">
        <v>2569</v>
      </c>
      <c r="I255" s="50"/>
      <c r="J255" s="50"/>
      <c r="K255" s="50"/>
      <c r="L255" s="50"/>
      <c r="M255" s="50"/>
      <c r="N255" s="50"/>
      <c r="O255" s="50"/>
      <c r="P255" s="50"/>
      <c r="Q255" s="50"/>
      <c r="R255" s="50"/>
      <c r="S255" s="50"/>
      <c r="T255" s="50"/>
      <c r="U255" s="50"/>
      <c r="V255" s="50" t="s">
        <v>2568</v>
      </c>
      <c r="W255" s="50" t="s">
        <v>2075</v>
      </c>
      <c r="X255" s="50"/>
      <c r="Y255" s="50" t="s">
        <v>45</v>
      </c>
      <c r="Z255" s="50" t="s">
        <v>45</v>
      </c>
      <c r="AA255" s="50"/>
      <c r="AB255" s="50"/>
      <c r="AC255" s="50"/>
    </row>
    <row r="256">
      <c r="A256" s="48" t="s">
        <v>2563</v>
      </c>
      <c r="B256" s="49" t="s">
        <v>2028</v>
      </c>
      <c r="C256" s="48" t="s">
        <v>2570</v>
      </c>
      <c r="D256" s="50" t="str">
        <f>IFERROR(__xludf.DUMMYFUNCTION("""COMPUTED_VALUE"""),"Eau (Couche D'Arbre)")</f>
        <v>Eau (Couche D'Arbre)</v>
      </c>
      <c r="E256" s="50"/>
      <c r="F256" s="50" t="s">
        <v>2571</v>
      </c>
      <c r="G256" s="50" t="s">
        <v>2571</v>
      </c>
      <c r="H256" s="50" t="s">
        <v>2572</v>
      </c>
      <c r="I256" s="50"/>
      <c r="J256" s="50"/>
      <c r="K256" s="50"/>
      <c r="L256" s="50"/>
      <c r="M256" s="50"/>
      <c r="N256" s="50"/>
      <c r="O256" s="50"/>
      <c r="P256" s="50"/>
      <c r="Q256" s="50"/>
      <c r="R256" s="50"/>
      <c r="S256" s="50"/>
      <c r="T256" s="50"/>
      <c r="U256" s="50"/>
      <c r="V256" s="50" t="s">
        <v>2570</v>
      </c>
      <c r="W256" s="50" t="s">
        <v>1846</v>
      </c>
      <c r="X256" s="50" t="s">
        <v>1801</v>
      </c>
      <c r="Y256" s="50"/>
      <c r="Z256" s="50"/>
      <c r="AA256" s="50" t="s">
        <v>45</v>
      </c>
      <c r="AB256" s="50"/>
      <c r="AC256" s="50"/>
    </row>
    <row r="257">
      <c r="A257" s="48"/>
      <c r="B257" s="49"/>
      <c r="C257" s="48"/>
      <c r="D257" s="50" t="str">
        <f>IFERROR(__xludf.DUMMYFUNCTION("""COMPUTED_VALUE"""),"")</f>
        <v/>
      </c>
      <c r="E257" s="50"/>
      <c r="F257" s="50"/>
      <c r="G257" s="50"/>
      <c r="H257" s="50" t="s">
        <v>1710</v>
      </c>
      <c r="I257" s="50"/>
      <c r="J257" s="50"/>
      <c r="K257" s="50"/>
      <c r="L257" s="50"/>
      <c r="M257" s="50"/>
      <c r="N257" s="50"/>
      <c r="O257" s="50"/>
      <c r="P257" s="50"/>
      <c r="Q257" s="50"/>
      <c r="R257" s="50"/>
      <c r="S257" s="50"/>
      <c r="T257" s="50"/>
      <c r="U257" s="50"/>
      <c r="V257" s="50" t="s">
        <v>45</v>
      </c>
      <c r="W257" s="50" t="s">
        <v>45</v>
      </c>
      <c r="X257" s="50" t="s">
        <v>45</v>
      </c>
      <c r="Y257" s="50" t="s">
        <v>45</v>
      </c>
      <c r="Z257" s="50" t="s">
        <v>45</v>
      </c>
      <c r="AA257" s="50"/>
      <c r="AB257" s="50"/>
      <c r="AC257" s="50"/>
    </row>
    <row r="258">
      <c r="A258" s="48" t="s">
        <v>2573</v>
      </c>
      <c r="B258" s="49">
        <v>2019.0</v>
      </c>
      <c r="C258" s="48">
        <v>2019.0</v>
      </c>
      <c r="D258" s="50" t="str">
        <f>IFERROR(__xludf.DUMMYFUNCTION("""COMPUTED_VALUE"""),"2019")</f>
        <v>2019</v>
      </c>
      <c r="E258" s="50"/>
      <c r="F258" s="50">
        <v>2019.0</v>
      </c>
      <c r="G258" s="50">
        <v>2019.0</v>
      </c>
      <c r="H258" s="50" t="s">
        <v>1710</v>
      </c>
      <c r="I258" s="50"/>
      <c r="J258" s="50"/>
      <c r="K258" s="50"/>
      <c r="L258" s="50"/>
      <c r="M258" s="50"/>
      <c r="N258" s="50"/>
      <c r="O258" s="50"/>
      <c r="P258" s="50"/>
      <c r="Q258" s="50"/>
      <c r="R258" s="50"/>
      <c r="S258" s="50"/>
      <c r="T258" s="50"/>
      <c r="U258" s="50"/>
      <c r="V258" s="50">
        <v>2019.0</v>
      </c>
      <c r="W258" s="50" t="s">
        <v>45</v>
      </c>
      <c r="X258" s="50" t="s">
        <v>45</v>
      </c>
      <c r="Y258" s="50" t="s">
        <v>45</v>
      </c>
      <c r="Z258" s="50" t="s">
        <v>45</v>
      </c>
      <c r="AA258" s="50"/>
      <c r="AB258" s="50"/>
      <c r="AC258" s="50"/>
    </row>
    <row r="259">
      <c r="A259" s="48" t="s">
        <v>2573</v>
      </c>
      <c r="B259" s="49">
        <v>2020.0</v>
      </c>
      <c r="C259" s="48">
        <v>2020.0</v>
      </c>
      <c r="D259" s="50" t="str">
        <f>IFERROR(__xludf.DUMMYFUNCTION("""COMPUTED_VALUE"""),"2020")</f>
        <v>2020</v>
      </c>
      <c r="E259" s="50"/>
      <c r="F259" s="50">
        <v>2020.0</v>
      </c>
      <c r="G259" s="50">
        <v>2020.0</v>
      </c>
      <c r="H259" s="50" t="s">
        <v>1710</v>
      </c>
      <c r="I259" s="50"/>
      <c r="J259" s="50"/>
      <c r="K259" s="50"/>
      <c r="L259" s="50"/>
      <c r="M259" s="50"/>
      <c r="N259" s="50"/>
      <c r="O259" s="50"/>
      <c r="P259" s="50"/>
      <c r="Q259" s="50"/>
      <c r="R259" s="50"/>
      <c r="S259" s="50"/>
      <c r="T259" s="50"/>
      <c r="U259" s="50"/>
      <c r="V259" s="50">
        <v>2020.0</v>
      </c>
      <c r="W259" s="50" t="s">
        <v>45</v>
      </c>
      <c r="X259" s="50" t="s">
        <v>45</v>
      </c>
      <c r="Y259" s="50" t="s">
        <v>45</v>
      </c>
      <c r="Z259" s="50" t="s">
        <v>45</v>
      </c>
      <c r="AA259" s="50"/>
      <c r="AB259" s="50"/>
      <c r="AC259" s="50"/>
    </row>
    <row r="260">
      <c r="A260" s="48"/>
      <c r="B260" s="49"/>
      <c r="C260" s="48"/>
      <c r="D260" s="50" t="str">
        <f>IFERROR(__xludf.DUMMYFUNCTION("""COMPUTED_VALUE"""),"")</f>
        <v/>
      </c>
      <c r="E260" s="50"/>
      <c r="F260" s="50"/>
      <c r="G260" s="50"/>
      <c r="H260" s="50" t="s">
        <v>1710</v>
      </c>
      <c r="I260" s="50"/>
      <c r="J260" s="50"/>
      <c r="K260" s="50"/>
      <c r="L260" s="50"/>
      <c r="M260" s="50"/>
      <c r="N260" s="50"/>
      <c r="O260" s="50"/>
      <c r="P260" s="50"/>
      <c r="Q260" s="50"/>
      <c r="R260" s="50"/>
      <c r="S260" s="50"/>
      <c r="T260" s="50"/>
      <c r="U260" s="50"/>
      <c r="V260" s="50" t="s">
        <v>45</v>
      </c>
      <c r="W260" s="50" t="s">
        <v>45</v>
      </c>
      <c r="X260" s="50" t="s">
        <v>45</v>
      </c>
      <c r="Y260" s="50" t="s">
        <v>45</v>
      </c>
      <c r="Z260" s="50" t="s">
        <v>45</v>
      </c>
      <c r="AA260" s="50"/>
      <c r="AB260" s="50"/>
      <c r="AC260" s="50"/>
    </row>
    <row r="261">
      <c r="A261" s="48" t="s">
        <v>2574</v>
      </c>
      <c r="B261" s="49" t="s">
        <v>2575</v>
      </c>
      <c r="C261" s="48">
        <v>2019.0</v>
      </c>
      <c r="D261" s="50" t="str">
        <f>IFERROR(__xludf.DUMMYFUNCTION("""COMPUTED_VALUE"""),"2019")</f>
        <v>2019</v>
      </c>
      <c r="E261" s="50"/>
      <c r="F261" s="50">
        <v>2019.0</v>
      </c>
      <c r="G261" s="50">
        <v>2019.0</v>
      </c>
      <c r="H261" s="50" t="s">
        <v>1710</v>
      </c>
      <c r="I261" s="50"/>
      <c r="J261" s="50"/>
      <c r="K261" s="50"/>
      <c r="L261" s="50"/>
      <c r="M261" s="50"/>
      <c r="N261" s="50"/>
      <c r="O261" s="50"/>
      <c r="P261" s="50"/>
      <c r="Q261" s="50"/>
      <c r="R261" s="50"/>
      <c r="S261" s="50"/>
      <c r="T261" s="50"/>
      <c r="U261" s="50"/>
      <c r="V261" s="50">
        <v>2019.0</v>
      </c>
      <c r="W261" s="50" t="s">
        <v>45</v>
      </c>
      <c r="X261" s="50" t="s">
        <v>45</v>
      </c>
      <c r="Y261" s="50" t="s">
        <v>45</v>
      </c>
      <c r="Z261" s="50" t="s">
        <v>45</v>
      </c>
      <c r="AA261" s="50"/>
      <c r="AB261" s="50"/>
      <c r="AC261" s="50"/>
    </row>
    <row r="262">
      <c r="A262" s="48" t="s">
        <v>2574</v>
      </c>
      <c r="B262" s="49" t="s">
        <v>2576</v>
      </c>
      <c r="C262" s="48">
        <v>2021.0</v>
      </c>
      <c r="D262" s="50" t="str">
        <f>IFERROR(__xludf.DUMMYFUNCTION("""COMPUTED_VALUE"""),"2021")</f>
        <v>2021</v>
      </c>
      <c r="E262" s="50"/>
      <c r="F262" s="50">
        <v>2021.0</v>
      </c>
      <c r="G262" s="50">
        <v>2021.0</v>
      </c>
      <c r="H262" s="50" t="s">
        <v>1710</v>
      </c>
      <c r="I262" s="50"/>
      <c r="J262" s="50"/>
      <c r="K262" s="50"/>
      <c r="L262" s="50"/>
      <c r="M262" s="50"/>
      <c r="N262" s="50"/>
      <c r="O262" s="50"/>
      <c r="P262" s="50"/>
      <c r="Q262" s="50"/>
      <c r="R262" s="50"/>
      <c r="S262" s="50"/>
      <c r="T262" s="50"/>
      <c r="U262" s="50"/>
      <c r="V262" s="50">
        <v>2021.0</v>
      </c>
      <c r="W262" s="50" t="s">
        <v>45</v>
      </c>
      <c r="X262" s="50" t="s">
        <v>45</v>
      </c>
      <c r="Y262" s="50" t="s">
        <v>45</v>
      </c>
      <c r="Z262" s="50" t="s">
        <v>45</v>
      </c>
      <c r="AA262" s="50"/>
      <c r="AB262" s="50"/>
      <c r="AC262" s="50"/>
    </row>
    <row r="263">
      <c r="A263" s="48" t="s">
        <v>2574</v>
      </c>
      <c r="B263" s="49" t="s">
        <v>2577</v>
      </c>
      <c r="C263" s="48">
        <v>2022.0</v>
      </c>
      <c r="D263" s="50" t="str">
        <f>IFERROR(__xludf.DUMMYFUNCTION("""COMPUTED_VALUE"""),"2022")</f>
        <v>2022</v>
      </c>
      <c r="E263" s="50"/>
      <c r="F263" s="50">
        <v>2022.0</v>
      </c>
      <c r="G263" s="50">
        <v>2022.0</v>
      </c>
      <c r="H263" s="50" t="s">
        <v>1710</v>
      </c>
      <c r="I263" s="50"/>
      <c r="J263" s="50"/>
      <c r="K263" s="50"/>
      <c r="L263" s="50"/>
      <c r="M263" s="50"/>
      <c r="N263" s="50"/>
      <c r="O263" s="50"/>
      <c r="P263" s="50"/>
      <c r="Q263" s="50"/>
      <c r="R263" s="50"/>
      <c r="S263" s="50"/>
      <c r="T263" s="50"/>
      <c r="U263" s="50"/>
      <c r="V263" s="50">
        <v>2022.0</v>
      </c>
      <c r="W263" s="50" t="s">
        <v>45</v>
      </c>
      <c r="X263" s="50" t="s">
        <v>45</v>
      </c>
      <c r="Y263" s="50" t="s">
        <v>45</v>
      </c>
      <c r="Z263" s="50" t="s">
        <v>45</v>
      </c>
      <c r="AA263" s="50"/>
      <c r="AB263" s="50"/>
      <c r="AC263" s="50"/>
    </row>
    <row r="264">
      <c r="A264" s="48" t="s">
        <v>2574</v>
      </c>
      <c r="B264" s="49" t="s">
        <v>2578</v>
      </c>
      <c r="C264" s="48" t="s">
        <v>1916</v>
      </c>
      <c r="D264" s="50" t="str">
        <f>IFERROR(__xludf.DUMMYFUNCTION("""COMPUTED_VALUE"""),"Inconnu")</f>
        <v>Inconnu</v>
      </c>
      <c r="E264" s="50"/>
      <c r="F264" s="50" t="s">
        <v>1917</v>
      </c>
      <c r="G264" s="50" t="s">
        <v>1917</v>
      </c>
      <c r="H264" s="50" t="s">
        <v>1918</v>
      </c>
      <c r="I264" s="50"/>
      <c r="J264" s="50"/>
      <c r="K264" s="50"/>
      <c r="L264" s="50"/>
      <c r="M264" s="50"/>
      <c r="N264" s="50"/>
      <c r="O264" s="50"/>
      <c r="P264" s="50"/>
      <c r="Q264" s="50"/>
      <c r="R264" s="50"/>
      <c r="S264" s="50"/>
      <c r="T264" s="50"/>
      <c r="U264" s="50"/>
      <c r="V264" s="50" t="s">
        <v>1916</v>
      </c>
      <c r="W264" s="50" t="s">
        <v>1919</v>
      </c>
      <c r="X264" s="50"/>
      <c r="Y264" s="50"/>
      <c r="Z264" s="50"/>
      <c r="AA264" s="50" t="s">
        <v>45</v>
      </c>
      <c r="AB264" s="50"/>
      <c r="AC264" s="50"/>
    </row>
    <row r="265">
      <c r="A265" s="48"/>
      <c r="B265" s="49"/>
      <c r="C265" s="48"/>
      <c r="D265" s="50" t="str">
        <f>IFERROR(__xludf.DUMMYFUNCTION("""COMPUTED_VALUE"""),"")</f>
        <v/>
      </c>
      <c r="E265" s="50"/>
      <c r="F265" s="50"/>
      <c r="G265" s="50"/>
      <c r="H265" s="50" t="s">
        <v>1710</v>
      </c>
      <c r="I265" s="50"/>
      <c r="J265" s="50"/>
      <c r="K265" s="50"/>
      <c r="L265" s="50"/>
      <c r="M265" s="50"/>
      <c r="N265" s="50"/>
      <c r="O265" s="50"/>
      <c r="P265" s="50"/>
      <c r="Q265" s="50"/>
      <c r="R265" s="50"/>
      <c r="S265" s="50"/>
      <c r="T265" s="50"/>
      <c r="U265" s="50"/>
      <c r="V265" s="50" t="s">
        <v>45</v>
      </c>
      <c r="W265" s="50" t="s">
        <v>45</v>
      </c>
      <c r="X265" s="50" t="s">
        <v>45</v>
      </c>
      <c r="Y265" s="50" t="s">
        <v>45</v>
      </c>
      <c r="Z265" s="50" t="s">
        <v>45</v>
      </c>
      <c r="AA265" s="50"/>
      <c r="AB265" s="50"/>
      <c r="AC265" s="50"/>
    </row>
    <row r="266">
      <c r="A266" s="48" t="s">
        <v>2579</v>
      </c>
      <c r="B266" s="49" t="s">
        <v>2580</v>
      </c>
      <c r="C266" s="48" t="s">
        <v>2581</v>
      </c>
      <c r="D266" s="50" t="str">
        <f>IFERROR(__xludf.DUMMYFUNCTION("""COMPUTED_VALUE"""),"Immédiatement")</f>
        <v>Immédiatement</v>
      </c>
      <c r="E266" s="50"/>
      <c r="F266" s="50" t="s">
        <v>2582</v>
      </c>
      <c r="G266" s="50" t="s">
        <v>2582</v>
      </c>
      <c r="H266" s="50" t="s">
        <v>2583</v>
      </c>
      <c r="I266" s="50"/>
      <c r="J266" s="50"/>
      <c r="K266" s="50"/>
      <c r="L266" s="50"/>
      <c r="M266" s="50"/>
      <c r="N266" s="50"/>
      <c r="O266" s="50"/>
      <c r="P266" s="50"/>
      <c r="Q266" s="50"/>
      <c r="R266" s="50"/>
      <c r="S266" s="50"/>
      <c r="T266" s="50"/>
      <c r="U266" s="50"/>
      <c r="V266" s="50" t="s">
        <v>2581</v>
      </c>
      <c r="W266" s="50" t="s">
        <v>2584</v>
      </c>
      <c r="X266" s="50" t="s">
        <v>45</v>
      </c>
      <c r="Y266" s="50" t="s">
        <v>45</v>
      </c>
      <c r="Z266" s="50" t="s">
        <v>45</v>
      </c>
      <c r="AA266" s="50"/>
      <c r="AB266" s="50"/>
      <c r="AC266" s="50"/>
    </row>
    <row r="267">
      <c r="A267" s="48" t="s">
        <v>2579</v>
      </c>
      <c r="B267" s="49" t="s">
        <v>2585</v>
      </c>
      <c r="C267" s="48" t="s">
        <v>2586</v>
      </c>
      <c r="D267" s="50" t="str">
        <f>IFERROR(__xludf.DUMMYFUNCTION("""COMPUTED_VALUE"""),"Cette Semaine")</f>
        <v>Cette Semaine</v>
      </c>
      <c r="E267" s="50"/>
      <c r="F267" s="50" t="s">
        <v>2587</v>
      </c>
      <c r="G267" s="50" t="s">
        <v>2587</v>
      </c>
      <c r="H267" s="50" t="s">
        <v>2588</v>
      </c>
      <c r="I267" s="50"/>
      <c r="J267" s="50"/>
      <c r="K267" s="50"/>
      <c r="L267" s="50"/>
      <c r="M267" s="50"/>
      <c r="N267" s="50"/>
      <c r="O267" s="50"/>
      <c r="P267" s="50"/>
      <c r="Q267" s="50"/>
      <c r="R267" s="50"/>
      <c r="S267" s="50"/>
      <c r="T267" s="50"/>
      <c r="U267" s="50"/>
      <c r="V267" s="50" t="s">
        <v>2586</v>
      </c>
      <c r="W267" s="50" t="s">
        <v>2589</v>
      </c>
      <c r="X267" s="50" t="s">
        <v>45</v>
      </c>
      <c r="Y267" s="50" t="s">
        <v>45</v>
      </c>
      <c r="Z267" s="50" t="s">
        <v>45</v>
      </c>
      <c r="AA267" s="50"/>
      <c r="AB267" s="50"/>
      <c r="AC267" s="50"/>
    </row>
    <row r="268">
      <c r="A268" s="48" t="s">
        <v>2579</v>
      </c>
      <c r="B268" s="49" t="s">
        <v>2590</v>
      </c>
      <c r="C268" s="48" t="s">
        <v>2591</v>
      </c>
      <c r="D268" s="50" t="str">
        <f>IFERROR(__xludf.DUMMYFUNCTION("""COMPUTED_VALUE"""),"Ce Mois-Ci")</f>
        <v>Ce Mois-Ci</v>
      </c>
      <c r="E268" s="50"/>
      <c r="F268" s="50" t="s">
        <v>2592</v>
      </c>
      <c r="G268" s="50" t="s">
        <v>2592</v>
      </c>
      <c r="H268" s="50" t="s">
        <v>2593</v>
      </c>
      <c r="I268" s="50"/>
      <c r="J268" s="50"/>
      <c r="K268" s="50"/>
      <c r="L268" s="50"/>
      <c r="M268" s="50"/>
      <c r="N268" s="50"/>
      <c r="O268" s="50"/>
      <c r="P268" s="50"/>
      <c r="Q268" s="50"/>
      <c r="R268" s="50"/>
      <c r="S268" s="50"/>
      <c r="T268" s="50"/>
      <c r="U268" s="50"/>
      <c r="V268" s="50" t="s">
        <v>2591</v>
      </c>
      <c r="W268" s="50" t="s">
        <v>2594</v>
      </c>
      <c r="X268" s="50"/>
      <c r="Y268" s="50" t="s">
        <v>45</v>
      </c>
      <c r="Z268" s="50" t="s">
        <v>45</v>
      </c>
      <c r="AA268" s="50"/>
      <c r="AB268" s="50"/>
      <c r="AC268" s="50"/>
    </row>
    <row r="269">
      <c r="A269" s="48" t="s">
        <v>2579</v>
      </c>
      <c r="B269" s="49" t="s">
        <v>2595</v>
      </c>
      <c r="C269" s="48" t="s">
        <v>2596</v>
      </c>
      <c r="D269" s="50" t="str">
        <f>IFERROR(__xludf.DUMMYFUNCTION("""COMPUTED_VALUE"""),"Cette Année")</f>
        <v>Cette Année</v>
      </c>
      <c r="E269" s="50"/>
      <c r="F269" s="50" t="s">
        <v>2597</v>
      </c>
      <c r="G269" s="50" t="s">
        <v>2597</v>
      </c>
      <c r="H269" s="50" t="s">
        <v>2598</v>
      </c>
      <c r="I269" s="50"/>
      <c r="J269" s="50"/>
      <c r="K269" s="50"/>
      <c r="L269" s="50"/>
      <c r="M269" s="50"/>
      <c r="N269" s="50"/>
      <c r="O269" s="50"/>
      <c r="P269" s="50"/>
      <c r="Q269" s="50"/>
      <c r="R269" s="50"/>
      <c r="S269" s="50"/>
      <c r="T269" s="50"/>
      <c r="U269" s="50"/>
      <c r="V269" s="50" t="s">
        <v>2596</v>
      </c>
      <c r="W269" s="50" t="s">
        <v>2599</v>
      </c>
      <c r="X269" s="50" t="s">
        <v>45</v>
      </c>
      <c r="Y269" s="50" t="s">
        <v>45</v>
      </c>
      <c r="Z269" s="50" t="s">
        <v>45</v>
      </c>
      <c r="AA269" s="50"/>
      <c r="AB269" s="50"/>
      <c r="AC269" s="50"/>
    </row>
    <row r="270">
      <c r="A270" s="48"/>
      <c r="B270" s="49"/>
      <c r="C270" s="48"/>
      <c r="D270" s="50" t="str">
        <f>IFERROR(__xludf.DUMMYFUNCTION("""COMPUTED_VALUE"""),"")</f>
        <v/>
      </c>
      <c r="E270" s="50"/>
      <c r="F270" s="50"/>
      <c r="G270" s="50"/>
      <c r="H270" s="50" t="s">
        <v>1710</v>
      </c>
      <c r="I270" s="50"/>
      <c r="J270" s="50"/>
      <c r="K270" s="50"/>
      <c r="L270" s="50"/>
      <c r="M270" s="50"/>
      <c r="N270" s="50"/>
      <c r="O270" s="50"/>
      <c r="P270" s="50"/>
      <c r="Q270" s="50"/>
      <c r="R270" s="50"/>
      <c r="S270" s="50"/>
      <c r="T270" s="50"/>
      <c r="U270" s="50"/>
      <c r="V270" s="50" t="s">
        <v>45</v>
      </c>
      <c r="W270" s="50" t="s">
        <v>45</v>
      </c>
      <c r="X270" s="50" t="s">
        <v>45</v>
      </c>
      <c r="Y270" s="50" t="s">
        <v>45</v>
      </c>
      <c r="Z270" s="50" t="s">
        <v>45</v>
      </c>
      <c r="AA270" s="50"/>
      <c r="AB270" s="50" t="s">
        <v>45</v>
      </c>
      <c r="AC270" s="50"/>
    </row>
    <row r="271">
      <c r="A271" s="48" t="s">
        <v>2600</v>
      </c>
      <c r="B271" s="49" t="s">
        <v>2601</v>
      </c>
      <c r="C271" s="48" t="s">
        <v>2602</v>
      </c>
      <c r="D271" s="50" t="str">
        <f>IFERROR(__xludf.DUMMYFUNCTION("""COMPUTED_VALUE"""),"Mamadi Sangaré")</f>
        <v>Mamadi Sangaré</v>
      </c>
      <c r="E271" s="50"/>
      <c r="F271" s="50" t="s">
        <v>2602</v>
      </c>
      <c r="G271" s="50" t="s">
        <v>2602</v>
      </c>
      <c r="H271" s="50" t="s">
        <v>1710</v>
      </c>
      <c r="I271" s="50"/>
      <c r="J271" s="50"/>
      <c r="K271" s="50"/>
      <c r="L271" s="50"/>
      <c r="M271" s="50"/>
      <c r="N271" s="50"/>
      <c r="O271" s="50"/>
      <c r="P271" s="50" t="s">
        <v>2603</v>
      </c>
      <c r="Q271" s="50" t="s">
        <v>2603</v>
      </c>
      <c r="R271" s="50" t="s">
        <v>2603</v>
      </c>
      <c r="S271" s="50"/>
      <c r="T271" s="50"/>
      <c r="U271" s="50"/>
      <c r="V271" s="50" t="s">
        <v>2602</v>
      </c>
      <c r="W271" s="50" t="s">
        <v>45</v>
      </c>
      <c r="X271" s="50" t="s">
        <v>45</v>
      </c>
      <c r="Y271" s="50" t="s">
        <v>45</v>
      </c>
      <c r="Z271" s="50" t="s">
        <v>45</v>
      </c>
      <c r="AA271" s="50"/>
      <c r="AB271" s="50" t="s">
        <v>45</v>
      </c>
      <c r="AC271" s="50"/>
    </row>
    <row r="272">
      <c r="A272" s="48" t="s">
        <v>2600</v>
      </c>
      <c r="B272" s="49" t="s">
        <v>2604</v>
      </c>
      <c r="C272" s="48" t="s">
        <v>2605</v>
      </c>
      <c r="D272" s="50" t="str">
        <f>IFERROR(__xludf.DUMMYFUNCTION("""COMPUTED_VALUE"""),"Foungbe Faragbe")</f>
        <v>Foungbe Faragbe</v>
      </c>
      <c r="E272" s="50"/>
      <c r="F272" s="50" t="s">
        <v>2605</v>
      </c>
      <c r="G272" s="50" t="s">
        <v>2605</v>
      </c>
      <c r="H272" s="50" t="s">
        <v>1710</v>
      </c>
      <c r="I272" s="50"/>
      <c r="J272" s="50"/>
      <c r="K272" s="50"/>
      <c r="L272" s="50"/>
      <c r="M272" s="50"/>
      <c r="N272" s="50"/>
      <c r="O272" s="50"/>
      <c r="P272" s="50" t="s">
        <v>2606</v>
      </c>
      <c r="Q272" s="50" t="s">
        <v>2606</v>
      </c>
      <c r="R272" s="50" t="s">
        <v>2606</v>
      </c>
      <c r="S272" s="50"/>
      <c r="T272" s="50"/>
      <c r="U272" s="50"/>
      <c r="V272" s="50" t="s">
        <v>2605</v>
      </c>
      <c r="W272" s="50" t="s">
        <v>45</v>
      </c>
      <c r="X272" s="50" t="s">
        <v>45</v>
      </c>
      <c r="Y272" s="50" t="s">
        <v>45</v>
      </c>
      <c r="Z272" s="50" t="s">
        <v>45</v>
      </c>
      <c r="AA272" s="50"/>
      <c r="AB272" s="50"/>
      <c r="AC272" s="50"/>
    </row>
    <row r="273">
      <c r="A273" s="48" t="s">
        <v>2600</v>
      </c>
      <c r="B273" s="49" t="s">
        <v>2607</v>
      </c>
      <c r="C273" s="48" t="s">
        <v>2608</v>
      </c>
      <c r="D273" s="50" t="str">
        <f>IFERROR(__xludf.DUMMYFUNCTION("""COMPUTED_VALUE"""),"Pépé Pierre")</f>
        <v>Pépé Pierre</v>
      </c>
      <c r="E273" s="50"/>
      <c r="F273" s="50" t="s">
        <v>2608</v>
      </c>
      <c r="G273" s="50" t="s">
        <v>2608</v>
      </c>
      <c r="H273" s="50" t="s">
        <v>1710</v>
      </c>
      <c r="I273" s="50"/>
      <c r="J273" s="50"/>
      <c r="K273" s="50"/>
      <c r="L273" s="50"/>
      <c r="M273" s="50"/>
      <c r="N273" s="50"/>
      <c r="O273" s="50"/>
      <c r="P273" s="50" t="s">
        <v>2609</v>
      </c>
      <c r="Q273" s="50" t="s">
        <v>2609</v>
      </c>
      <c r="R273" s="50" t="s">
        <v>2609</v>
      </c>
      <c r="S273" s="50"/>
      <c r="T273" s="50"/>
      <c r="U273" s="50"/>
      <c r="V273" s="50" t="s">
        <v>2608</v>
      </c>
      <c r="W273" s="50" t="s">
        <v>45</v>
      </c>
      <c r="X273" s="50" t="s">
        <v>45</v>
      </c>
      <c r="Y273" s="50" t="s">
        <v>45</v>
      </c>
      <c r="Z273" s="50" t="s">
        <v>45</v>
      </c>
      <c r="AA273" s="50"/>
      <c r="AB273" s="50"/>
      <c r="AC273" s="50"/>
    </row>
    <row r="274">
      <c r="A274" s="48"/>
      <c r="B274" s="49"/>
      <c r="C274" s="48"/>
      <c r="D274" s="50" t="str">
        <f>IFERROR(__xludf.DUMMYFUNCTION("""COMPUTED_VALUE"""),"")</f>
        <v/>
      </c>
      <c r="E274" s="50"/>
      <c r="F274" s="50"/>
      <c r="G274" s="50"/>
      <c r="H274" s="50" t="s">
        <v>1710</v>
      </c>
      <c r="I274" s="50"/>
      <c r="J274" s="50"/>
      <c r="K274" s="50"/>
      <c r="L274" s="50"/>
      <c r="M274" s="50"/>
      <c r="N274" s="50"/>
      <c r="O274" s="50"/>
      <c r="P274" s="50"/>
      <c r="Q274" s="50"/>
      <c r="R274" s="50"/>
      <c r="S274" s="50"/>
      <c r="T274" s="50"/>
      <c r="U274" s="50"/>
      <c r="V274" s="50" t="s">
        <v>45</v>
      </c>
      <c r="W274" s="50" t="s">
        <v>45</v>
      </c>
      <c r="X274" s="50" t="s">
        <v>45</v>
      </c>
      <c r="Y274" s="50" t="s">
        <v>45</v>
      </c>
      <c r="Z274" s="50" t="s">
        <v>45</v>
      </c>
      <c r="AA274" s="50"/>
      <c r="AB274" s="50"/>
      <c r="AC274" s="50"/>
    </row>
    <row r="275">
      <c r="A275" s="48" t="s">
        <v>2610</v>
      </c>
      <c r="B275" s="49" t="s">
        <v>2611</v>
      </c>
      <c r="C275" s="48" t="s">
        <v>2612</v>
      </c>
      <c r="D275" s="50" t="str">
        <f>IFERROR(__xludf.DUMMYFUNCTION("""COMPUTED_VALUE"""),"Cabane À Noix De Cajou")</f>
        <v>Cabane À Noix De Cajou</v>
      </c>
      <c r="E275" s="50"/>
      <c r="F275" s="50" t="s">
        <v>2613</v>
      </c>
      <c r="G275" s="50" t="s">
        <v>2614</v>
      </c>
      <c r="H275" s="50" t="s">
        <v>1839</v>
      </c>
      <c r="I275" s="50"/>
      <c r="J275" s="50"/>
      <c r="K275" s="50"/>
      <c r="L275" s="50"/>
      <c r="M275" s="50"/>
      <c r="N275" s="50"/>
      <c r="O275" s="50"/>
      <c r="P275" s="50"/>
      <c r="Q275" s="50"/>
      <c r="R275" s="50"/>
      <c r="S275" s="50"/>
      <c r="T275" s="50"/>
      <c r="U275" s="50"/>
      <c r="V275" s="50" t="s">
        <v>2612</v>
      </c>
      <c r="W275" s="50" t="s">
        <v>1840</v>
      </c>
      <c r="X275" s="50"/>
      <c r="Y275" s="50" t="s">
        <v>45</v>
      </c>
      <c r="Z275" s="50" t="s">
        <v>45</v>
      </c>
      <c r="AA275" s="50"/>
      <c r="AB275" s="50"/>
      <c r="AC275" s="50"/>
    </row>
    <row r="276">
      <c r="A276" s="48" t="s">
        <v>2610</v>
      </c>
      <c r="B276" s="49" t="s">
        <v>2615</v>
      </c>
      <c r="C276" s="48" t="s">
        <v>2616</v>
      </c>
      <c r="D276" s="50" t="str">
        <f>IFERROR(__xludf.DUMMYFUNCTION("""COMPUTED_VALUE"""),"Mini Maison Puits")</f>
        <v>Mini Maison Puits</v>
      </c>
      <c r="E276" s="50"/>
      <c r="F276" s="50" t="s">
        <v>2617</v>
      </c>
      <c r="G276" s="50" t="s">
        <v>2617</v>
      </c>
      <c r="H276" s="50" t="s">
        <v>1710</v>
      </c>
      <c r="I276" s="50"/>
      <c r="J276" s="50"/>
      <c r="K276" s="50"/>
      <c r="L276" s="50"/>
      <c r="M276" s="50"/>
      <c r="N276" s="50"/>
      <c r="O276" s="50"/>
      <c r="P276" s="50"/>
      <c r="Q276" s="50"/>
      <c r="R276" s="50"/>
      <c r="S276" s="50"/>
      <c r="T276" s="50"/>
      <c r="U276" s="50"/>
      <c r="V276" s="50" t="s">
        <v>2616</v>
      </c>
      <c r="W276" s="50" t="s">
        <v>45</v>
      </c>
      <c r="X276" s="50" t="s">
        <v>45</v>
      </c>
      <c r="Y276" s="50" t="s">
        <v>45</v>
      </c>
      <c r="Z276" s="50" t="s">
        <v>45</v>
      </c>
      <c r="AA276" s="50"/>
      <c r="AB276" s="50"/>
      <c r="AC276" s="50"/>
    </row>
    <row r="277">
      <c r="A277" s="48" t="s">
        <v>2610</v>
      </c>
      <c r="B277" s="49" t="s">
        <v>2618</v>
      </c>
      <c r="C277" s="48" t="s">
        <v>2619</v>
      </c>
      <c r="D277" s="50" t="str">
        <f>IFERROR(__xludf.DUMMYFUNCTION("""COMPUTED_VALUE"""),"Mini Maison Yolink")</f>
        <v>Mini Maison Yolink</v>
      </c>
      <c r="E277" s="50"/>
      <c r="F277" s="50" t="s">
        <v>2620</v>
      </c>
      <c r="G277" s="50" t="s">
        <v>2620</v>
      </c>
      <c r="H277" s="50" t="s">
        <v>1710</v>
      </c>
      <c r="I277" s="50"/>
      <c r="J277" s="50"/>
      <c r="K277" s="50"/>
      <c r="L277" s="50"/>
      <c r="M277" s="50"/>
      <c r="N277" s="50"/>
      <c r="O277" s="50"/>
      <c r="P277" s="50"/>
      <c r="Q277" s="50"/>
      <c r="R277" s="50"/>
      <c r="S277" s="50"/>
      <c r="T277" s="50"/>
      <c r="U277" s="50"/>
      <c r="V277" s="50" t="s">
        <v>2619</v>
      </c>
      <c r="W277" s="50" t="s">
        <v>45</v>
      </c>
      <c r="X277" s="50" t="s">
        <v>45</v>
      </c>
      <c r="Y277" s="50" t="s">
        <v>45</v>
      </c>
      <c r="Z277" s="50" t="s">
        <v>45</v>
      </c>
      <c r="AA277" s="50"/>
      <c r="AB277" s="50"/>
      <c r="AC277" s="50"/>
    </row>
    <row r="278">
      <c r="A278" s="48" t="s">
        <v>2610</v>
      </c>
      <c r="B278" s="49" t="s">
        <v>2621</v>
      </c>
      <c r="C278" s="48" t="s">
        <v>2622</v>
      </c>
      <c r="D278" s="50" t="str">
        <f>IFERROR(__xludf.DUMMYFUNCTION("""COMPUTED_VALUE"""),"Maison Beyla Foungbe")</f>
        <v>Maison Beyla Foungbe</v>
      </c>
      <c r="E278" s="50"/>
      <c r="F278" s="50" t="s">
        <v>2623</v>
      </c>
      <c r="G278" s="50" t="s">
        <v>2623</v>
      </c>
      <c r="H278" s="50" t="s">
        <v>1710</v>
      </c>
      <c r="I278" s="50"/>
      <c r="J278" s="50"/>
      <c r="K278" s="50"/>
      <c r="L278" s="50"/>
      <c r="M278" s="50"/>
      <c r="N278" s="50"/>
      <c r="O278" s="50"/>
      <c r="P278" s="50"/>
      <c r="Q278" s="50"/>
      <c r="R278" s="50"/>
      <c r="S278" s="50"/>
      <c r="T278" s="50"/>
      <c r="U278" s="50"/>
      <c r="V278" s="50" t="s">
        <v>2622</v>
      </c>
      <c r="W278" s="50" t="s">
        <v>45</v>
      </c>
      <c r="X278" s="50" t="s">
        <v>45</v>
      </c>
      <c r="Y278" s="50" t="s">
        <v>45</v>
      </c>
      <c r="Z278" s="50" t="s">
        <v>45</v>
      </c>
      <c r="AA278" s="50"/>
      <c r="AB278" s="50"/>
      <c r="AC278" s="50"/>
    </row>
    <row r="279">
      <c r="A279" s="48"/>
      <c r="B279" s="49"/>
      <c r="C279" s="48"/>
      <c r="D279" s="50" t="str">
        <f>IFERROR(__xludf.DUMMYFUNCTION("""COMPUTED_VALUE"""),"")</f>
        <v/>
      </c>
      <c r="E279" s="50"/>
      <c r="F279" s="50"/>
      <c r="G279" s="50"/>
      <c r="H279" s="50" t="s">
        <v>1710</v>
      </c>
      <c r="I279" s="50"/>
      <c r="J279" s="50"/>
      <c r="K279" s="50"/>
      <c r="L279" s="50"/>
      <c r="M279" s="50"/>
      <c r="N279" s="50"/>
      <c r="O279" s="50"/>
      <c r="P279" s="50"/>
      <c r="Q279" s="50"/>
      <c r="R279" s="50"/>
      <c r="S279" s="50"/>
      <c r="T279" s="50"/>
      <c r="U279" s="50"/>
      <c r="V279" s="50" t="s">
        <v>45</v>
      </c>
      <c r="W279" s="50" t="s">
        <v>45</v>
      </c>
      <c r="X279" s="50" t="s">
        <v>45</v>
      </c>
      <c r="Y279" s="50" t="s">
        <v>45</v>
      </c>
      <c r="Z279" s="50" t="s">
        <v>45</v>
      </c>
      <c r="AA279" s="50"/>
      <c r="AB279" s="50"/>
      <c r="AC279" s="50"/>
    </row>
    <row r="280">
      <c r="A280" s="48" t="s">
        <v>2624</v>
      </c>
      <c r="B280" s="49" t="s">
        <v>2625</v>
      </c>
      <c r="C280" s="48" t="s">
        <v>2626</v>
      </c>
      <c r="D280" s="50" t="str">
        <f>IFERROR(__xludf.DUMMYFUNCTION("""COMPUTED_VALUE"""),"Meilleure Publicité Premium")</f>
        <v>Meilleure Publicité Premium</v>
      </c>
      <c r="E280" s="50"/>
      <c r="F280" s="50" t="s">
        <v>2627</v>
      </c>
      <c r="G280" s="50" t="s">
        <v>2627</v>
      </c>
      <c r="H280" s="50" t="s">
        <v>2628</v>
      </c>
      <c r="I280" s="50"/>
      <c r="J280" s="50"/>
      <c r="K280" s="50"/>
      <c r="L280" s="50"/>
      <c r="M280" s="50"/>
      <c r="N280" s="50"/>
      <c r="O280" s="50"/>
      <c r="P280" s="50"/>
      <c r="Q280" s="50"/>
      <c r="R280" s="50"/>
      <c r="S280" s="50" t="s">
        <v>2629</v>
      </c>
      <c r="T280" s="50"/>
      <c r="U280" s="50"/>
      <c r="V280" s="50" t="s">
        <v>2626</v>
      </c>
      <c r="W280" s="50" t="s">
        <v>2630</v>
      </c>
      <c r="X280" s="50" t="s">
        <v>2630</v>
      </c>
      <c r="Y280" s="50" t="s">
        <v>45</v>
      </c>
      <c r="Z280" s="50" t="s">
        <v>45</v>
      </c>
      <c r="AA280" s="50"/>
      <c r="AB280" s="50"/>
      <c r="AC280" s="50"/>
    </row>
    <row r="281">
      <c r="A281" s="48" t="s">
        <v>2624</v>
      </c>
      <c r="B281" s="49" t="s">
        <v>2631</v>
      </c>
      <c r="C281" s="48" t="s">
        <v>2632</v>
      </c>
      <c r="D281" s="50" t="str">
        <f>IFERROR(__xludf.DUMMYFUNCTION("""COMPUTED_VALUE"""),"2E (A Une Sorte De Défaut)")</f>
        <v>2E (A Une Sorte De Défaut)</v>
      </c>
      <c r="E281" s="50"/>
      <c r="F281" s="50" t="s">
        <v>2633</v>
      </c>
      <c r="G281" s="50" t="s">
        <v>2633</v>
      </c>
      <c r="H281" s="50" t="s">
        <v>2634</v>
      </c>
      <c r="I281" s="50"/>
      <c r="J281" s="50"/>
      <c r="K281" s="50"/>
      <c r="L281" s="50"/>
      <c r="M281" s="50"/>
      <c r="N281" s="50"/>
      <c r="O281" s="50"/>
      <c r="P281" s="50"/>
      <c r="Q281" s="50"/>
      <c r="R281" s="50"/>
      <c r="S281" s="50" t="s">
        <v>2635</v>
      </c>
      <c r="T281" s="50"/>
      <c r="U281" s="50"/>
      <c r="V281" s="50" t="s">
        <v>2632</v>
      </c>
      <c r="W281" s="50" t="s">
        <v>2630</v>
      </c>
      <c r="X281" s="50" t="s">
        <v>2115</v>
      </c>
      <c r="Y281" s="50" t="s">
        <v>45</v>
      </c>
      <c r="Z281" s="50" t="s">
        <v>45</v>
      </c>
      <c r="AA281" s="50"/>
      <c r="AB281" s="50"/>
      <c r="AC281" s="50"/>
    </row>
    <row r="282">
      <c r="A282" s="48" t="s">
        <v>2624</v>
      </c>
      <c r="B282" s="49" t="s">
        <v>2636</v>
      </c>
      <c r="C282" s="48" t="s">
        <v>2637</v>
      </c>
      <c r="D282" s="50" t="str">
        <f>IFERROR(__xludf.DUMMYFUNCTION("""COMPUTED_VALUE"""),"Non Comestible, Graines Suffisamment Mûres Pour Germer")</f>
        <v>Non Comestible, Graines Suffisamment Mûres Pour Germer</v>
      </c>
      <c r="E282" s="50"/>
      <c r="F282" s="50" t="s">
        <v>2638</v>
      </c>
      <c r="G282" s="50" t="s">
        <v>2638</v>
      </c>
      <c r="H282" s="50" t="s">
        <v>2639</v>
      </c>
      <c r="I282" s="50"/>
      <c r="J282" s="50"/>
      <c r="K282" s="50"/>
      <c r="L282" s="50"/>
      <c r="M282" s="50"/>
      <c r="N282" s="50"/>
      <c r="O282" s="50"/>
      <c r="P282" s="50"/>
      <c r="Q282" s="50"/>
      <c r="R282" s="50"/>
      <c r="S282" s="50" t="s">
        <v>2640</v>
      </c>
      <c r="T282" s="50"/>
      <c r="U282" s="50"/>
      <c r="V282" s="50" t="s">
        <v>2641</v>
      </c>
      <c r="W282" s="50" t="s">
        <v>2642</v>
      </c>
      <c r="X282" s="50" t="s">
        <v>2168</v>
      </c>
      <c r="Y282" s="50" t="s">
        <v>1796</v>
      </c>
      <c r="Z282" s="50" t="s">
        <v>2630</v>
      </c>
      <c r="AA282" s="50"/>
      <c r="AB282" s="50"/>
      <c r="AC282" s="50"/>
    </row>
    <row r="283">
      <c r="A283" s="48" t="s">
        <v>2624</v>
      </c>
      <c r="B283" s="49" t="s">
        <v>2643</v>
      </c>
      <c r="C283" s="48" t="s">
        <v>2644</v>
      </c>
      <c r="D283" s="50" t="str">
        <f>IFERROR(__xludf.DUMMYFUNCTION("""COMPUTED_VALUE"""),"Non Comestible, Graines Immatures")</f>
        <v>Non Comestible, Graines Immatures</v>
      </c>
      <c r="E283" s="50"/>
      <c r="F283" s="50" t="s">
        <v>2645</v>
      </c>
      <c r="G283" s="50" t="s">
        <v>2645</v>
      </c>
      <c r="H283" s="50" t="s">
        <v>2646</v>
      </c>
      <c r="I283" s="50"/>
      <c r="J283" s="50"/>
      <c r="K283" s="50"/>
      <c r="L283" s="50"/>
      <c r="M283" s="50"/>
      <c r="N283" s="50"/>
      <c r="O283" s="50"/>
      <c r="P283" s="50"/>
      <c r="Q283" s="50"/>
      <c r="R283" s="50"/>
      <c r="S283" s="50" t="s">
        <v>2647</v>
      </c>
      <c r="T283" s="50"/>
      <c r="U283" s="50"/>
      <c r="V283" s="50" t="s">
        <v>2641</v>
      </c>
      <c r="W283" s="50" t="s">
        <v>2642</v>
      </c>
      <c r="X283" s="50" t="s">
        <v>2168</v>
      </c>
      <c r="Y283" s="50" t="s">
        <v>1796</v>
      </c>
      <c r="Z283" s="50" t="s">
        <v>2115</v>
      </c>
      <c r="AA283" s="50"/>
      <c r="AB283" s="50"/>
      <c r="AC283" s="50"/>
    </row>
    <row r="284">
      <c r="A284" s="48"/>
      <c r="B284" s="49"/>
      <c r="C284" s="48"/>
      <c r="D284" s="50" t="str">
        <f>IFERROR(__xludf.DUMMYFUNCTION("""COMPUTED_VALUE"""),"")</f>
        <v/>
      </c>
      <c r="E284" s="50"/>
      <c r="F284" s="50"/>
      <c r="G284" s="50"/>
      <c r="H284" s="50" t="s">
        <v>1710</v>
      </c>
      <c r="I284" s="50"/>
      <c r="J284" s="50"/>
      <c r="K284" s="50"/>
      <c r="L284" s="50"/>
      <c r="M284" s="50"/>
      <c r="N284" s="50"/>
      <c r="O284" s="50"/>
      <c r="P284" s="50"/>
      <c r="Q284" s="50"/>
      <c r="R284" s="50"/>
      <c r="S284" s="50"/>
      <c r="T284" s="50"/>
      <c r="U284" s="50"/>
      <c r="V284" s="50"/>
      <c r="W284" s="50"/>
      <c r="X284" s="50"/>
      <c r="Y284" s="50"/>
      <c r="Z284" s="50"/>
      <c r="AA284" s="50"/>
      <c r="AB284" s="50"/>
      <c r="AC284" s="50"/>
    </row>
    <row r="285">
      <c r="A285" s="48"/>
      <c r="B285" s="49"/>
      <c r="C285" s="48"/>
      <c r="D285" s="50" t="str">
        <f>IFERROR(__xludf.DUMMYFUNCTION("""COMPUTED_VALUE"""),"")</f>
        <v/>
      </c>
      <c r="E285" s="50"/>
      <c r="F285" s="50"/>
      <c r="G285" s="50"/>
      <c r="H285" s="50" t="s">
        <v>1710</v>
      </c>
      <c r="I285" s="50"/>
      <c r="J285" s="50"/>
      <c r="K285" s="50"/>
      <c r="L285" s="50"/>
      <c r="M285" s="50"/>
      <c r="N285" s="50"/>
      <c r="O285" s="50"/>
      <c r="P285" s="50"/>
      <c r="Q285" s="50"/>
      <c r="R285" s="50"/>
      <c r="S285" s="50"/>
      <c r="T285" s="50"/>
      <c r="U285" s="50"/>
      <c r="V285" s="50"/>
      <c r="W285" s="50"/>
      <c r="X285" s="50"/>
      <c r="Y285" s="50"/>
      <c r="Z285" s="50"/>
      <c r="AA285" s="50"/>
      <c r="AB285" s="50"/>
      <c r="AC285" s="50"/>
    </row>
    <row r="286">
      <c r="A286" s="48"/>
      <c r="B286" s="49"/>
      <c r="C286" s="48"/>
      <c r="D286" s="50" t="str">
        <f>IFERROR(__xludf.DUMMYFUNCTION("""COMPUTED_VALUE"""),"")</f>
        <v/>
      </c>
      <c r="E286" s="50"/>
      <c r="F286" s="50"/>
      <c r="G286" s="50"/>
      <c r="H286" s="50" t="s">
        <v>1710</v>
      </c>
      <c r="I286" s="50"/>
      <c r="J286" s="50"/>
      <c r="K286" s="50"/>
      <c r="L286" s="50"/>
      <c r="M286" s="50"/>
      <c r="N286" s="50"/>
      <c r="O286" s="50"/>
      <c r="P286" s="50"/>
      <c r="Q286" s="50"/>
      <c r="R286" s="50"/>
      <c r="S286" s="50"/>
      <c r="T286" s="50"/>
      <c r="U286" s="50"/>
      <c r="V286" s="50"/>
      <c r="W286" s="50"/>
      <c r="X286" s="50"/>
      <c r="Y286" s="50"/>
      <c r="Z286" s="50"/>
      <c r="AA286" s="50"/>
      <c r="AB286" s="50"/>
      <c r="AC286" s="50"/>
    </row>
    <row r="287">
      <c r="A287" s="48"/>
      <c r="B287" s="49"/>
      <c r="C287" s="48"/>
      <c r="D287" s="50" t="str">
        <f>IFERROR(__xludf.DUMMYFUNCTION("""COMPUTED_VALUE"""),"")</f>
        <v/>
      </c>
      <c r="E287" s="50"/>
      <c r="F287" s="50"/>
      <c r="G287" s="50"/>
      <c r="H287" s="50" t="s">
        <v>1710</v>
      </c>
      <c r="I287" s="50"/>
      <c r="J287" s="50"/>
      <c r="K287" s="50"/>
      <c r="L287" s="50"/>
      <c r="M287" s="50"/>
      <c r="N287" s="50"/>
      <c r="O287" s="50"/>
      <c r="P287" s="50"/>
      <c r="Q287" s="50"/>
      <c r="R287" s="50"/>
      <c r="S287" s="50"/>
      <c r="T287" s="50"/>
      <c r="U287" s="50"/>
      <c r="V287" s="50"/>
      <c r="W287" s="50"/>
      <c r="X287" s="50"/>
      <c r="Y287" s="50"/>
      <c r="Z287" s="50"/>
      <c r="AA287" s="50"/>
      <c r="AB287" s="50"/>
      <c r="AC287" s="50"/>
    </row>
    <row r="288">
      <c r="A288" s="48"/>
      <c r="B288" s="49"/>
      <c r="C288" s="48"/>
      <c r="D288" s="50" t="str">
        <f>IFERROR(__xludf.DUMMYFUNCTION("""COMPUTED_VALUE"""),"")</f>
        <v/>
      </c>
      <c r="E288" s="50"/>
      <c r="F288" s="50"/>
      <c r="G288" s="50"/>
      <c r="H288" s="50" t="s">
        <v>1710</v>
      </c>
      <c r="I288" s="50"/>
      <c r="J288" s="50"/>
      <c r="K288" s="50"/>
      <c r="L288" s="50"/>
      <c r="M288" s="50"/>
      <c r="N288" s="50"/>
      <c r="O288" s="50"/>
      <c r="P288" s="50"/>
      <c r="Q288" s="50"/>
      <c r="R288" s="50"/>
      <c r="S288" s="50"/>
      <c r="T288" s="50"/>
      <c r="U288" s="50"/>
      <c r="V288" s="50"/>
      <c r="W288" s="50"/>
      <c r="X288" s="50"/>
      <c r="Y288" s="50"/>
      <c r="Z288" s="50"/>
      <c r="AA288" s="50"/>
      <c r="AB288" s="50"/>
      <c r="AC288" s="50"/>
    </row>
    <row r="289">
      <c r="A289" s="48"/>
      <c r="B289" s="49"/>
      <c r="C289" s="48"/>
      <c r="D289" s="50" t="str">
        <f>IFERROR(__xludf.DUMMYFUNCTION("""COMPUTED_VALUE"""),"")</f>
        <v/>
      </c>
      <c r="E289" s="50"/>
      <c r="F289" s="50"/>
      <c r="G289" s="50"/>
      <c r="H289" s="50" t="s">
        <v>1710</v>
      </c>
      <c r="I289" s="50"/>
      <c r="J289" s="50"/>
      <c r="K289" s="50"/>
      <c r="L289" s="50"/>
      <c r="M289" s="50"/>
      <c r="N289" s="50"/>
      <c r="O289" s="50"/>
      <c r="P289" s="50"/>
      <c r="Q289" s="50"/>
      <c r="R289" s="50"/>
      <c r="S289" s="50"/>
      <c r="T289" s="50"/>
      <c r="U289" s="50"/>
      <c r="V289" s="50"/>
      <c r="W289" s="50"/>
      <c r="X289" s="50"/>
      <c r="Y289" s="50"/>
      <c r="Z289" s="50"/>
      <c r="AA289" s="50"/>
      <c r="AB289" s="50"/>
      <c r="AC289" s="50"/>
    </row>
    <row r="290">
      <c r="A290" s="48"/>
      <c r="B290" s="49"/>
      <c r="C290" s="48"/>
      <c r="D290" s="50" t="str">
        <f>IFERROR(__xludf.DUMMYFUNCTION("""COMPUTED_VALUE"""),"")</f>
        <v/>
      </c>
      <c r="E290" s="50"/>
      <c r="F290" s="50"/>
      <c r="G290" s="50"/>
      <c r="H290" s="50" t="s">
        <v>1710</v>
      </c>
      <c r="I290" s="50"/>
      <c r="J290" s="50"/>
      <c r="K290" s="50"/>
      <c r="L290" s="50"/>
      <c r="M290" s="50"/>
      <c r="N290" s="50"/>
      <c r="O290" s="50"/>
      <c r="P290" s="50"/>
      <c r="Q290" s="50"/>
      <c r="R290" s="50"/>
      <c r="S290" s="50"/>
      <c r="T290" s="50"/>
      <c r="U290" s="50"/>
      <c r="V290" s="50"/>
      <c r="W290" s="50"/>
      <c r="X290" s="50"/>
      <c r="Y290" s="50"/>
      <c r="Z290" s="50"/>
      <c r="AA290" s="50"/>
      <c r="AB290" s="50"/>
      <c r="AC290" s="50"/>
    </row>
    <row r="291">
      <c r="A291" s="48"/>
      <c r="B291" s="49"/>
      <c r="C291" s="48"/>
      <c r="D291" s="50" t="str">
        <f>IFERROR(__xludf.DUMMYFUNCTION("""COMPUTED_VALUE"""),"")</f>
        <v/>
      </c>
      <c r="E291" s="50"/>
      <c r="F291" s="50"/>
      <c r="G291" s="50"/>
      <c r="H291" s="50" t="s">
        <v>1710</v>
      </c>
      <c r="I291" s="50"/>
      <c r="J291" s="50"/>
      <c r="K291" s="50"/>
      <c r="L291" s="50"/>
      <c r="M291" s="50"/>
      <c r="N291" s="50"/>
      <c r="O291" s="50"/>
      <c r="P291" s="50"/>
      <c r="Q291" s="50"/>
      <c r="R291" s="50"/>
      <c r="S291" s="50"/>
      <c r="T291" s="50"/>
      <c r="U291" s="50"/>
      <c r="V291" s="50"/>
      <c r="W291" s="50"/>
      <c r="X291" s="50"/>
      <c r="Y291" s="50"/>
      <c r="Z291" s="50"/>
      <c r="AA291" s="50"/>
      <c r="AB291" s="50"/>
      <c r="AC291" s="50"/>
    </row>
    <row r="292">
      <c r="A292" s="48"/>
      <c r="B292" s="49"/>
      <c r="C292" s="48"/>
      <c r="D292" s="50" t="str">
        <f>IFERROR(__xludf.DUMMYFUNCTION("""COMPUTED_VALUE"""),"")</f>
        <v/>
      </c>
      <c r="E292" s="50"/>
      <c r="F292" s="50"/>
      <c r="G292" s="50"/>
      <c r="H292" s="50" t="s">
        <v>1710</v>
      </c>
      <c r="I292" s="50"/>
      <c r="J292" s="50"/>
      <c r="K292" s="50"/>
      <c r="L292" s="50"/>
      <c r="M292" s="50"/>
      <c r="N292" s="50"/>
      <c r="O292" s="50"/>
      <c r="P292" s="50"/>
      <c r="Q292" s="50"/>
      <c r="R292" s="50"/>
      <c r="S292" s="50"/>
      <c r="T292" s="50"/>
      <c r="U292" s="50"/>
      <c r="V292" s="50"/>
      <c r="W292" s="50"/>
      <c r="X292" s="50"/>
      <c r="Y292" s="50"/>
      <c r="Z292" s="50"/>
      <c r="AA292" s="50"/>
      <c r="AB292" s="50"/>
      <c r="AC292" s="50"/>
    </row>
    <row r="293">
      <c r="A293" s="48"/>
      <c r="B293" s="49"/>
      <c r="C293" s="48"/>
      <c r="D293" s="50" t="str">
        <f>IFERROR(__xludf.DUMMYFUNCTION("""COMPUTED_VALUE"""),"")</f>
        <v/>
      </c>
      <c r="E293" s="50"/>
      <c r="F293" s="50"/>
      <c r="G293" s="50"/>
      <c r="H293" s="50" t="s">
        <v>1710</v>
      </c>
      <c r="I293" s="50"/>
      <c r="J293" s="50"/>
      <c r="K293" s="50"/>
      <c r="L293" s="50"/>
      <c r="M293" s="50"/>
      <c r="N293" s="50"/>
      <c r="O293" s="50"/>
      <c r="P293" s="50"/>
      <c r="Q293" s="50"/>
      <c r="R293" s="50"/>
      <c r="S293" s="50"/>
      <c r="T293" s="50"/>
      <c r="U293" s="50"/>
      <c r="V293" s="50"/>
      <c r="W293" s="50"/>
      <c r="X293" s="50"/>
      <c r="Y293" s="50"/>
      <c r="Z293" s="50"/>
      <c r="AA293" s="50"/>
      <c r="AB293" s="50"/>
      <c r="AC293" s="50"/>
    </row>
    <row r="294">
      <c r="A294" s="48"/>
      <c r="B294" s="49"/>
      <c r="C294" s="48"/>
      <c r="D294" s="50" t="str">
        <f>IFERROR(__xludf.DUMMYFUNCTION("""COMPUTED_VALUE"""),"")</f>
        <v/>
      </c>
      <c r="E294" s="50"/>
      <c r="F294" s="50"/>
      <c r="G294" s="50"/>
      <c r="H294" s="50" t="s">
        <v>1710</v>
      </c>
      <c r="I294" s="50"/>
      <c r="J294" s="50"/>
      <c r="K294" s="50"/>
      <c r="L294" s="50"/>
      <c r="M294" s="50"/>
      <c r="N294" s="50"/>
      <c r="O294" s="50"/>
      <c r="P294" s="50"/>
      <c r="Q294" s="50"/>
      <c r="R294" s="50"/>
      <c r="S294" s="50"/>
      <c r="T294" s="50"/>
      <c r="U294" s="50"/>
      <c r="V294" s="50"/>
      <c r="W294" s="50"/>
      <c r="X294" s="50"/>
      <c r="Y294" s="50"/>
      <c r="Z294" s="50"/>
      <c r="AA294" s="50"/>
      <c r="AB294" s="50"/>
      <c r="AC294" s="50"/>
    </row>
    <row r="295">
      <c r="A295" s="48" t="s">
        <v>2648</v>
      </c>
      <c r="B295" s="49" t="s">
        <v>2649</v>
      </c>
      <c r="C295" s="48" t="s">
        <v>1916</v>
      </c>
      <c r="D295" s="50" t="str">
        <f>IFERROR(__xludf.DUMMYFUNCTION("""COMPUTED_VALUE"""),"Inconnu")</f>
        <v>Inconnu</v>
      </c>
      <c r="E295" s="50"/>
      <c r="F295" s="50" t="s">
        <v>1917</v>
      </c>
      <c r="G295" s="50" t="s">
        <v>1917</v>
      </c>
      <c r="H295" s="50" t="s">
        <v>1710</v>
      </c>
      <c r="I295" s="50"/>
      <c r="J295" s="50"/>
      <c r="K295" s="50"/>
      <c r="L295" s="50"/>
      <c r="M295" s="50"/>
      <c r="N295" s="50"/>
      <c r="O295" s="50"/>
      <c r="P295" s="50"/>
      <c r="Q295" s="50"/>
      <c r="R295" s="50"/>
      <c r="S295" s="50"/>
      <c r="T295" s="50"/>
      <c r="U295" s="50"/>
      <c r="V295" s="50"/>
      <c r="W295" s="50"/>
      <c r="X295" s="50"/>
      <c r="Y295" s="50"/>
      <c r="Z295" s="50"/>
      <c r="AA295" s="50"/>
      <c r="AB295" s="50"/>
      <c r="AC295" s="50"/>
    </row>
    <row r="296">
      <c r="A296" s="48"/>
      <c r="B296" s="49"/>
      <c r="C296" s="48"/>
      <c r="D296" s="50" t="str">
        <f>IFERROR(__xludf.DUMMYFUNCTION("""COMPUTED_VALUE"""),"")</f>
        <v/>
      </c>
      <c r="E296" s="50"/>
      <c r="F296" s="50"/>
      <c r="G296" s="50"/>
      <c r="H296" s="50" t="s">
        <v>1710</v>
      </c>
      <c r="I296" s="50"/>
      <c r="J296" s="50"/>
      <c r="K296" s="50"/>
      <c r="L296" s="50"/>
      <c r="M296" s="50"/>
      <c r="N296" s="50"/>
      <c r="O296" s="50"/>
      <c r="P296" s="50"/>
      <c r="Q296" s="50"/>
      <c r="R296" s="50"/>
      <c r="S296" s="50"/>
      <c r="T296" s="50"/>
      <c r="U296" s="50"/>
      <c r="V296" s="50"/>
      <c r="W296" s="50"/>
      <c r="X296" s="50"/>
      <c r="Y296" s="50"/>
      <c r="Z296" s="50"/>
      <c r="AA296" s="50"/>
      <c r="AB296" s="50"/>
      <c r="AC296" s="50"/>
    </row>
    <row r="297">
      <c r="A297" s="48"/>
      <c r="B297" s="49"/>
      <c r="C297" s="48"/>
      <c r="D297" s="50" t="str">
        <f>IFERROR(__xludf.DUMMYFUNCTION("""COMPUTED_VALUE"""),"")</f>
        <v/>
      </c>
      <c r="E297" s="50"/>
      <c r="F297" s="50"/>
      <c r="G297" s="50"/>
      <c r="H297" s="50" t="s">
        <v>1710</v>
      </c>
      <c r="I297" s="50"/>
      <c r="J297" s="50"/>
      <c r="K297" s="50"/>
      <c r="L297" s="50"/>
      <c r="M297" s="50"/>
      <c r="N297" s="50"/>
      <c r="O297" s="50"/>
      <c r="P297" s="50"/>
      <c r="Q297" s="50"/>
      <c r="R297" s="50"/>
      <c r="S297" s="50"/>
      <c r="T297" s="50"/>
      <c r="U297" s="50"/>
      <c r="V297" s="50"/>
      <c r="W297" s="50"/>
      <c r="X297" s="50"/>
      <c r="Y297" s="50"/>
      <c r="Z297" s="50"/>
      <c r="AA297" s="50"/>
      <c r="AB297" s="50"/>
      <c r="AC297" s="50"/>
    </row>
    <row r="298">
      <c r="A298" s="48" t="s">
        <v>1703</v>
      </c>
      <c r="B298" s="49" t="s">
        <v>2650</v>
      </c>
      <c r="C298" s="48" t="s">
        <v>2651</v>
      </c>
      <c r="D298" s="50" t="str">
        <f>IFERROR(__xludf.DUMMYFUNCTION("""COMPUTED_VALUE"""),"Acacia Des Prairies")</f>
        <v>Acacia Des Prairies</v>
      </c>
      <c r="E298" s="50"/>
      <c r="F298" s="50" t="s">
        <v>2652</v>
      </c>
      <c r="G298" s="50" t="s">
        <v>2652</v>
      </c>
      <c r="H298" s="50" t="s">
        <v>1710</v>
      </c>
      <c r="I298" s="50" t="s">
        <v>2653</v>
      </c>
      <c r="J298" s="50"/>
      <c r="K298" s="50"/>
      <c r="L298" s="50"/>
      <c r="M298" s="50"/>
      <c r="N298" s="50"/>
      <c r="O298" s="50"/>
      <c r="P298" s="50"/>
      <c r="Q298" s="50"/>
      <c r="R298" s="50"/>
      <c r="S298" s="50"/>
      <c r="T298" s="50"/>
      <c r="U298" s="50"/>
      <c r="V298" s="50"/>
      <c r="W298" s="50"/>
      <c r="X298" s="50"/>
      <c r="Y298" s="50"/>
      <c r="Z298" s="50"/>
      <c r="AA298" s="50"/>
      <c r="AB298" s="50"/>
      <c r="AC298" s="50"/>
    </row>
    <row r="299">
      <c r="A299" s="48" t="s">
        <v>1703</v>
      </c>
      <c r="B299" s="49" t="s">
        <v>2654</v>
      </c>
      <c r="C299" s="48" t="s">
        <v>2655</v>
      </c>
      <c r="D299" s="50" t="str">
        <f>IFERROR(__xludf.DUMMYFUNCTION("""COMPUTED_VALUE"""),"Ciboulette À L'Ail")</f>
        <v>Ciboulette À L'Ail</v>
      </c>
      <c r="E299" s="50"/>
      <c r="F299" s="50" t="s">
        <v>2656</v>
      </c>
      <c r="G299" s="50" t="s">
        <v>2656</v>
      </c>
      <c r="H299" s="50" t="s">
        <v>1710</v>
      </c>
      <c r="I299" s="50" t="s">
        <v>2657</v>
      </c>
      <c r="J299" s="50"/>
      <c r="K299" s="50"/>
      <c r="L299" s="50"/>
      <c r="M299" s="50"/>
      <c r="N299" s="50"/>
      <c r="O299" s="50"/>
      <c r="P299" s="50"/>
      <c r="Q299" s="50"/>
      <c r="R299" s="50"/>
      <c r="S299" s="50"/>
      <c r="T299" s="50"/>
      <c r="U299" s="50"/>
      <c r="V299" s="50"/>
      <c r="W299" s="50"/>
      <c r="X299" s="50"/>
      <c r="Y299" s="50"/>
      <c r="Z299" s="50"/>
      <c r="AA299" s="50"/>
      <c r="AB299" s="50"/>
      <c r="AC299" s="50"/>
    </row>
    <row r="300">
      <c r="A300" s="48" t="s">
        <v>1703</v>
      </c>
      <c r="B300" s="49" t="s">
        <v>2658</v>
      </c>
      <c r="C300" s="48" t="s">
        <v>2659</v>
      </c>
      <c r="D300" s="50" t="str">
        <f>IFERROR(__xludf.DUMMYFUNCTION("""COMPUTED_VALUE"""),"Épinards Sisso")</f>
        <v>Épinards Sisso</v>
      </c>
      <c r="E300" s="50"/>
      <c r="F300" s="50" t="s">
        <v>2660</v>
      </c>
      <c r="G300" s="50" t="s">
        <v>2660</v>
      </c>
      <c r="H300" s="50" t="s">
        <v>1710</v>
      </c>
      <c r="I300" s="50" t="s">
        <v>2661</v>
      </c>
      <c r="J300" s="50"/>
      <c r="K300" s="50"/>
      <c r="L300" s="50"/>
      <c r="M300" s="50"/>
      <c r="N300" s="50"/>
      <c r="O300" s="50"/>
      <c r="P300" s="50"/>
      <c r="Q300" s="50"/>
      <c r="R300" s="50"/>
      <c r="S300" s="50"/>
      <c r="T300" s="50"/>
      <c r="U300" s="50"/>
      <c r="V300" s="50"/>
      <c r="W300" s="50"/>
      <c r="X300" s="50"/>
      <c r="Y300" s="50"/>
      <c r="Z300" s="50"/>
      <c r="AA300" s="50"/>
      <c r="AB300" s="50"/>
      <c r="AC300" s="50"/>
    </row>
    <row r="301">
      <c r="A301" s="48" t="s">
        <v>1703</v>
      </c>
      <c r="B301" s="49" t="s">
        <v>2662</v>
      </c>
      <c r="C301" s="48" t="s">
        <v>2663</v>
      </c>
      <c r="D301" s="50" t="str">
        <f>IFERROR(__xludf.DUMMYFUNCTION("""COMPUTED_VALUE"""),"Amarante Comestible/Végétale")</f>
        <v>Amarante Comestible/Végétale</v>
      </c>
      <c r="E301" s="50"/>
      <c r="F301" s="50" t="s">
        <v>2664</v>
      </c>
      <c r="G301" s="50" t="s">
        <v>2664</v>
      </c>
      <c r="H301" s="50" t="s">
        <v>1710</v>
      </c>
      <c r="I301" s="50" t="s">
        <v>2665</v>
      </c>
      <c r="J301" s="50"/>
      <c r="K301" s="50"/>
      <c r="L301" s="50"/>
      <c r="M301" s="50"/>
      <c r="N301" s="50"/>
      <c r="O301" s="50"/>
      <c r="P301" s="50"/>
      <c r="Q301" s="50"/>
      <c r="R301" s="50"/>
      <c r="S301" s="50"/>
      <c r="T301" s="50"/>
      <c r="U301" s="50"/>
      <c r="V301" s="50"/>
      <c r="W301" s="50"/>
      <c r="X301" s="50"/>
      <c r="Y301" s="50"/>
      <c r="Z301" s="50"/>
      <c r="AA301" s="50"/>
      <c r="AB301" s="50"/>
      <c r="AC301" s="50"/>
    </row>
    <row r="302">
      <c r="A302" s="48" t="s">
        <v>1703</v>
      </c>
      <c r="B302" s="49" t="s">
        <v>2666</v>
      </c>
      <c r="C302" s="48" t="s">
        <v>1837</v>
      </c>
      <c r="D302" s="50" t="str">
        <f>IFERROR(__xludf.DUMMYFUNCTION("""COMPUTED_VALUE"""),"Anacardier")</f>
        <v>Anacardier</v>
      </c>
      <c r="E302" s="50"/>
      <c r="F302" s="50" t="s">
        <v>1838</v>
      </c>
      <c r="G302" s="50" t="s">
        <v>1838</v>
      </c>
      <c r="H302" s="50" t="s">
        <v>1710</v>
      </c>
      <c r="I302" s="50" t="s">
        <v>2667</v>
      </c>
      <c r="J302" s="50"/>
      <c r="K302" s="50"/>
      <c r="L302" s="50"/>
      <c r="M302" s="50"/>
      <c r="N302" s="50"/>
      <c r="O302" s="50"/>
      <c r="P302" s="50"/>
      <c r="Q302" s="50"/>
      <c r="R302" s="50"/>
      <c r="S302" s="50"/>
      <c r="T302" s="50"/>
      <c r="U302" s="50"/>
      <c r="V302" s="50"/>
      <c r="W302" s="50"/>
      <c r="X302" s="50"/>
      <c r="Y302" s="50"/>
      <c r="Z302" s="50"/>
      <c r="AA302" s="50"/>
      <c r="AB302" s="50"/>
      <c r="AC302" s="50"/>
    </row>
    <row r="303">
      <c r="A303" s="48" t="s">
        <v>1703</v>
      </c>
      <c r="B303" s="49" t="s">
        <v>2668</v>
      </c>
      <c r="C303" s="48" t="s">
        <v>2669</v>
      </c>
      <c r="D303" s="50" t="str">
        <f>IFERROR(__xludf.DUMMYFUNCTION("""COMPUTED_VALUE"""),"Chérimole")</f>
        <v>Chérimole</v>
      </c>
      <c r="E303" s="50"/>
      <c r="F303" s="50" t="s">
        <v>2670</v>
      </c>
      <c r="G303" s="50" t="s">
        <v>2670</v>
      </c>
      <c r="H303" s="50" t="s">
        <v>1710</v>
      </c>
      <c r="I303" s="50" t="s">
        <v>2671</v>
      </c>
      <c r="J303" s="50"/>
      <c r="K303" s="50"/>
      <c r="L303" s="50"/>
      <c r="M303" s="50"/>
      <c r="N303" s="50"/>
      <c r="O303" s="50"/>
      <c r="P303" s="50"/>
      <c r="Q303" s="50"/>
      <c r="R303" s="50"/>
      <c r="S303" s="50"/>
      <c r="T303" s="50"/>
      <c r="U303" s="50"/>
      <c r="V303" s="50"/>
      <c r="W303" s="50"/>
      <c r="X303" s="50"/>
      <c r="Y303" s="50"/>
      <c r="Z303" s="50"/>
      <c r="AA303" s="50"/>
      <c r="AB303" s="50"/>
      <c r="AC303" s="50"/>
    </row>
    <row r="304">
      <c r="A304" s="48" t="s">
        <v>1703</v>
      </c>
      <c r="B304" s="49" t="s">
        <v>2672</v>
      </c>
      <c r="C304" s="48" t="s">
        <v>2673</v>
      </c>
      <c r="D304" s="50" t="str">
        <f>IFERROR(__xludf.DUMMYFUNCTION("""COMPUTED_VALUE"""),"Cherilata")</f>
        <v>Cherilata</v>
      </c>
      <c r="E304" s="50"/>
      <c r="F304" s="50" t="s">
        <v>2673</v>
      </c>
      <c r="G304" s="50" t="s">
        <v>2673</v>
      </c>
      <c r="H304" s="50" t="s">
        <v>1710</v>
      </c>
      <c r="I304" s="50" t="s">
        <v>2674</v>
      </c>
      <c r="J304" s="50"/>
      <c r="K304" s="50"/>
      <c r="L304" s="50"/>
      <c r="M304" s="50"/>
      <c r="N304" s="50"/>
      <c r="O304" s="50"/>
      <c r="P304" s="50"/>
      <c r="Q304" s="50"/>
      <c r="R304" s="50"/>
      <c r="S304" s="50"/>
      <c r="T304" s="50"/>
      <c r="U304" s="50"/>
      <c r="V304" s="50"/>
      <c r="W304" s="50"/>
      <c r="X304" s="50"/>
      <c r="Y304" s="50"/>
      <c r="Z304" s="50"/>
      <c r="AA304" s="50"/>
      <c r="AB304" s="50"/>
      <c r="AC304" s="50"/>
    </row>
    <row r="305">
      <c r="A305" s="48" t="s">
        <v>1703</v>
      </c>
      <c r="B305" s="49" t="s">
        <v>2675</v>
      </c>
      <c r="C305" s="48" t="s">
        <v>2676</v>
      </c>
      <c r="D305" s="50" t="str">
        <f>IFERROR(__xludf.DUMMYFUNCTION("""COMPUTED_VALUE"""),"Rollinia")</f>
        <v>Rollinia</v>
      </c>
      <c r="E305" s="50"/>
      <c r="F305" s="50" t="s">
        <v>2677</v>
      </c>
      <c r="G305" s="50" t="s">
        <v>2677</v>
      </c>
      <c r="H305" s="50" t="s">
        <v>1710</v>
      </c>
      <c r="I305" s="50" t="s">
        <v>2678</v>
      </c>
      <c r="J305" s="50"/>
      <c r="K305" s="50"/>
      <c r="L305" s="50"/>
      <c r="M305" s="50"/>
      <c r="N305" s="50"/>
      <c r="O305" s="50"/>
      <c r="P305" s="50"/>
      <c r="Q305" s="50"/>
      <c r="R305" s="50"/>
      <c r="S305" s="50"/>
      <c r="T305" s="50"/>
      <c r="U305" s="50"/>
      <c r="V305" s="50"/>
      <c r="W305" s="50"/>
      <c r="X305" s="50"/>
      <c r="Y305" s="50"/>
      <c r="Z305" s="50"/>
      <c r="AA305" s="50"/>
      <c r="AB305" s="50"/>
      <c r="AC305" s="50"/>
    </row>
    <row r="306">
      <c r="A306" s="48" t="s">
        <v>1703</v>
      </c>
      <c r="B306" s="49" t="s">
        <v>2679</v>
      </c>
      <c r="C306" s="48" t="s">
        <v>2680</v>
      </c>
      <c r="D306" s="50" t="str">
        <f>IFERROR(__xludf.DUMMYFUNCTION("""COMPUTED_VALUE"""),"Corossol")</f>
        <v>Corossol</v>
      </c>
      <c r="E306" s="50"/>
      <c r="F306" s="50" t="s">
        <v>2681</v>
      </c>
      <c r="G306" s="50" t="s">
        <v>2681</v>
      </c>
      <c r="H306" s="50" t="s">
        <v>1710</v>
      </c>
      <c r="I306" s="50" t="s">
        <v>2682</v>
      </c>
      <c r="J306" s="50"/>
      <c r="K306" s="50"/>
      <c r="L306" s="50"/>
      <c r="M306" s="50"/>
      <c r="N306" s="50"/>
      <c r="O306" s="50"/>
      <c r="P306" s="50"/>
      <c r="Q306" s="50"/>
      <c r="R306" s="50"/>
      <c r="S306" s="50"/>
      <c r="T306" s="50"/>
      <c r="U306" s="50"/>
      <c r="V306" s="50"/>
      <c r="W306" s="50"/>
      <c r="X306" s="50"/>
      <c r="Y306" s="50"/>
      <c r="Z306" s="50"/>
      <c r="AA306" s="50"/>
      <c r="AB306" s="50"/>
      <c r="AC306" s="50"/>
    </row>
    <row r="307">
      <c r="A307" s="48" t="s">
        <v>1703</v>
      </c>
      <c r="B307" s="49" t="s">
        <v>2683</v>
      </c>
      <c r="C307" s="48" t="s">
        <v>2684</v>
      </c>
      <c r="D307" s="50" t="str">
        <f>IFERROR(__xludf.DUMMYFUNCTION("""COMPUTED_VALUE"""),"Soncoya")</f>
        <v>Soncoya</v>
      </c>
      <c r="E307" s="50"/>
      <c r="F307" s="50" t="s">
        <v>2684</v>
      </c>
      <c r="G307" s="50" t="s">
        <v>2684</v>
      </c>
      <c r="H307" s="50" t="s">
        <v>1710</v>
      </c>
      <c r="I307" s="50" t="s">
        <v>2685</v>
      </c>
      <c r="J307" s="50"/>
      <c r="K307" s="50"/>
      <c r="L307" s="50"/>
      <c r="M307" s="50"/>
      <c r="N307" s="50"/>
      <c r="O307" s="50"/>
      <c r="P307" s="50"/>
      <c r="Q307" s="50"/>
      <c r="R307" s="50"/>
      <c r="S307" s="50"/>
      <c r="T307" s="50"/>
      <c r="U307" s="50"/>
      <c r="V307" s="50"/>
      <c r="W307" s="50"/>
      <c r="X307" s="50"/>
      <c r="Y307" s="50"/>
      <c r="Z307" s="50"/>
      <c r="AA307" s="50"/>
      <c r="AB307" s="50"/>
      <c r="AC307" s="50"/>
    </row>
    <row r="308">
      <c r="A308" s="48" t="s">
        <v>1703</v>
      </c>
      <c r="B308" s="49" t="s">
        <v>2686</v>
      </c>
      <c r="C308" s="48" t="s">
        <v>2687</v>
      </c>
      <c r="D308" s="50" t="str">
        <f>IFERROR(__xludf.DUMMYFUNCTION("""COMPUTED_VALUE"""),"Pomme À La Crème")</f>
        <v>Pomme À La Crème</v>
      </c>
      <c r="E308" s="50"/>
      <c r="F308" s="50" t="s">
        <v>2688</v>
      </c>
      <c r="G308" s="50" t="s">
        <v>2688</v>
      </c>
      <c r="H308" s="50" t="s">
        <v>1710</v>
      </c>
      <c r="I308" s="50" t="s">
        <v>2689</v>
      </c>
      <c r="J308" s="50"/>
      <c r="K308" s="50"/>
      <c r="L308" s="50"/>
      <c r="M308" s="50"/>
      <c r="N308" s="50"/>
      <c r="O308" s="50"/>
      <c r="P308" s="50"/>
      <c r="Q308" s="50"/>
      <c r="R308" s="50"/>
      <c r="S308" s="50"/>
      <c r="T308" s="50"/>
      <c r="U308" s="50"/>
      <c r="V308" s="50"/>
      <c r="W308" s="50"/>
      <c r="X308" s="50"/>
      <c r="Y308" s="50"/>
      <c r="Z308" s="50"/>
      <c r="AA308" s="50"/>
      <c r="AB308" s="50"/>
      <c r="AC308" s="50"/>
    </row>
    <row r="309">
      <c r="A309" s="48" t="s">
        <v>1703</v>
      </c>
      <c r="B309" s="49" t="s">
        <v>2690</v>
      </c>
      <c r="C309" s="48" t="s">
        <v>2691</v>
      </c>
      <c r="D309" s="50" t="str">
        <f>IFERROR(__xludf.DUMMYFUNCTION("""COMPUTED_VALUE"""),"Annona")</f>
        <v>Annona</v>
      </c>
      <c r="E309" s="50"/>
      <c r="F309" s="50" t="s">
        <v>2691</v>
      </c>
      <c r="G309" s="50" t="s">
        <v>2691</v>
      </c>
      <c r="H309" s="50" t="s">
        <v>1710</v>
      </c>
      <c r="I309" s="50" t="s">
        <v>2692</v>
      </c>
      <c r="J309" s="50"/>
      <c r="K309" s="50"/>
      <c r="L309" s="50"/>
      <c r="M309" s="50"/>
      <c r="N309" s="50"/>
      <c r="O309" s="50"/>
      <c r="P309" s="50"/>
      <c r="Q309" s="50"/>
      <c r="R309" s="50"/>
      <c r="S309" s="50"/>
      <c r="T309" s="50"/>
      <c r="U309" s="50"/>
      <c r="V309" s="50"/>
      <c r="W309" s="50"/>
      <c r="X309" s="50"/>
      <c r="Y309" s="50"/>
      <c r="Z309" s="50"/>
      <c r="AA309" s="50"/>
      <c r="AB309" s="50"/>
      <c r="AC309" s="50"/>
    </row>
    <row r="310">
      <c r="A310" s="48" t="s">
        <v>1703</v>
      </c>
      <c r="B310" s="49" t="s">
        <v>2693</v>
      </c>
      <c r="C310" s="48" t="s">
        <v>2694</v>
      </c>
      <c r="D310" s="50" t="str">
        <f>IFERROR(__xludf.DUMMYFUNCTION("""COMPUTED_VALUE"""),"Pomme Sucrée")</f>
        <v>Pomme Sucrée</v>
      </c>
      <c r="E310" s="50"/>
      <c r="F310" s="50" t="s">
        <v>2695</v>
      </c>
      <c r="G310" s="50" t="s">
        <v>2695</v>
      </c>
      <c r="H310" s="50" t="s">
        <v>1710</v>
      </c>
      <c r="I310" s="50" t="s">
        <v>2696</v>
      </c>
      <c r="J310" s="50"/>
      <c r="K310" s="50"/>
      <c r="L310" s="50"/>
      <c r="M310" s="50"/>
      <c r="N310" s="50"/>
      <c r="O310" s="50"/>
      <c r="P310" s="50"/>
      <c r="Q310" s="50"/>
      <c r="R310" s="50"/>
      <c r="S310" s="50"/>
      <c r="T310" s="50"/>
      <c r="U310" s="50"/>
      <c r="V310" s="50"/>
      <c r="W310" s="50"/>
      <c r="X310" s="50"/>
      <c r="Y310" s="50"/>
      <c r="Z310" s="50"/>
      <c r="AA310" s="50"/>
      <c r="AB310" s="50"/>
      <c r="AC310" s="50"/>
    </row>
    <row r="311">
      <c r="A311" s="48" t="s">
        <v>1703</v>
      </c>
      <c r="B311" s="49" t="s">
        <v>2697</v>
      </c>
      <c r="C311" s="48" t="s">
        <v>2698</v>
      </c>
      <c r="D311" s="50" t="str">
        <f>IFERROR(__xludf.DUMMYFUNCTION("""COMPUTED_VALUE"""),"Atemoya")</f>
        <v>Atemoya</v>
      </c>
      <c r="E311" s="50"/>
      <c r="F311" s="50" t="s">
        <v>2699</v>
      </c>
      <c r="G311" s="50" t="s">
        <v>2699</v>
      </c>
      <c r="H311" s="50" t="s">
        <v>1710</v>
      </c>
      <c r="I311" s="50" t="s">
        <v>2700</v>
      </c>
      <c r="J311" s="50"/>
      <c r="K311" s="50"/>
      <c r="L311" s="50"/>
      <c r="M311" s="50"/>
      <c r="N311" s="50"/>
      <c r="O311" s="50"/>
      <c r="P311" s="50"/>
      <c r="Q311" s="50"/>
      <c r="R311" s="50"/>
      <c r="S311" s="50"/>
      <c r="T311" s="50"/>
      <c r="U311" s="50"/>
      <c r="V311" s="50"/>
      <c r="W311" s="50"/>
      <c r="X311" s="50"/>
      <c r="Y311" s="50"/>
      <c r="Z311" s="50"/>
      <c r="AA311" s="50"/>
      <c r="AB311" s="50"/>
      <c r="AC311" s="50"/>
    </row>
    <row r="312">
      <c r="A312" s="48" t="s">
        <v>1703</v>
      </c>
      <c r="B312" s="49" t="s">
        <v>2701</v>
      </c>
      <c r="C312" s="48" t="s">
        <v>2702</v>
      </c>
      <c r="D312" s="50" t="str">
        <f>IFERROR(__xludf.DUMMYFUNCTION("""COMPUTED_VALUE"""),"Arachide Fourragère")</f>
        <v>Arachide Fourragère</v>
      </c>
      <c r="E312" s="50"/>
      <c r="F312" s="50" t="s">
        <v>2703</v>
      </c>
      <c r="G312" s="50" t="s">
        <v>2703</v>
      </c>
      <c r="H312" s="50" t="s">
        <v>1710</v>
      </c>
      <c r="I312" s="50" t="s">
        <v>2704</v>
      </c>
      <c r="J312" s="50"/>
      <c r="K312" s="50"/>
      <c r="L312" s="50"/>
      <c r="M312" s="50"/>
      <c r="N312" s="50"/>
      <c r="O312" s="50"/>
      <c r="P312" s="50"/>
      <c r="Q312" s="50"/>
      <c r="R312" s="50"/>
      <c r="S312" s="50"/>
      <c r="T312" s="50"/>
      <c r="U312" s="50"/>
      <c r="V312" s="50"/>
      <c r="W312" s="50"/>
      <c r="X312" s="50"/>
      <c r="Y312" s="50"/>
      <c r="Z312" s="50"/>
      <c r="AA312" s="50"/>
      <c r="AB312" s="50"/>
      <c r="AC312" s="50"/>
    </row>
    <row r="313">
      <c r="A313" s="48" t="s">
        <v>1703</v>
      </c>
      <c r="B313" s="49" t="s">
        <v>2705</v>
      </c>
      <c r="C313" s="48" t="s">
        <v>2706</v>
      </c>
      <c r="D313" s="50" t="str">
        <f>IFERROR(__xludf.DUMMYFUNCTION("""COMPUTED_VALUE"""),"Cacahuète Pinto")</f>
        <v>Cacahuète Pinto</v>
      </c>
      <c r="E313" s="50"/>
      <c r="F313" s="50" t="s">
        <v>2707</v>
      </c>
      <c r="G313" s="50" t="s">
        <v>2707</v>
      </c>
      <c r="H313" s="50" t="s">
        <v>1710</v>
      </c>
      <c r="I313" s="50" t="s">
        <v>2708</v>
      </c>
      <c r="J313" s="50"/>
      <c r="K313" s="50"/>
      <c r="L313" s="50"/>
      <c r="M313" s="50"/>
      <c r="N313" s="50"/>
      <c r="O313" s="50"/>
      <c r="P313" s="50"/>
      <c r="Q313" s="50"/>
      <c r="R313" s="50"/>
      <c r="S313" s="50"/>
      <c r="T313" s="50"/>
      <c r="U313" s="50"/>
      <c r="V313" s="50"/>
      <c r="W313" s="50"/>
      <c r="X313" s="50"/>
      <c r="Y313" s="50"/>
      <c r="Z313" s="50"/>
      <c r="AA313" s="50"/>
      <c r="AB313" s="50"/>
      <c r="AC313" s="50"/>
    </row>
    <row r="314">
      <c r="A314" s="48" t="s">
        <v>1703</v>
      </c>
      <c r="B314" s="49" t="s">
        <v>2709</v>
      </c>
      <c r="C314" s="48" t="s">
        <v>2710</v>
      </c>
      <c r="D314" s="50" t="str">
        <f>IFERROR(__xludf.DUMMYFUNCTION("""COMPUTED_VALUE"""),"Jacquier")</f>
        <v>Jacquier</v>
      </c>
      <c r="E314" s="50"/>
      <c r="F314" s="50" t="s">
        <v>2711</v>
      </c>
      <c r="G314" s="50" t="s">
        <v>2711</v>
      </c>
      <c r="H314" s="50" t="s">
        <v>1710</v>
      </c>
      <c r="I314" s="50" t="s">
        <v>2712</v>
      </c>
      <c r="J314" s="50"/>
      <c r="K314" s="50"/>
      <c r="L314" s="50"/>
      <c r="M314" s="50"/>
      <c r="N314" s="50"/>
      <c r="O314" s="50"/>
      <c r="P314" s="50"/>
      <c r="Q314" s="50"/>
      <c r="R314" s="50"/>
      <c r="S314" s="50"/>
      <c r="T314" s="50"/>
      <c r="U314" s="50"/>
      <c r="V314" s="50"/>
      <c r="W314" s="50"/>
      <c r="X314" s="50"/>
      <c r="Y314" s="50"/>
      <c r="Z314" s="50"/>
      <c r="AA314" s="50"/>
      <c r="AB314" s="50"/>
      <c r="AC314" s="50"/>
    </row>
    <row r="315">
      <c r="A315" s="48" t="s">
        <v>1703</v>
      </c>
      <c r="B315" s="49" t="s">
        <v>2713</v>
      </c>
      <c r="C315" s="48" t="s">
        <v>2714</v>
      </c>
      <c r="D315" s="50" t="str">
        <f>IFERROR(__xludf.DUMMYFUNCTION("""COMPUTED_VALUE"""),"Chempadek")</f>
        <v>Chempadek</v>
      </c>
      <c r="E315" s="50"/>
      <c r="F315" s="50" t="s">
        <v>2714</v>
      </c>
      <c r="G315" s="50" t="s">
        <v>2714</v>
      </c>
      <c r="H315" s="50" t="s">
        <v>1710</v>
      </c>
      <c r="I315" s="50" t="s">
        <v>2715</v>
      </c>
      <c r="J315" s="50"/>
      <c r="K315" s="50"/>
      <c r="L315" s="50"/>
      <c r="M315" s="50"/>
      <c r="N315" s="50"/>
      <c r="O315" s="50"/>
      <c r="P315" s="50"/>
      <c r="Q315" s="50"/>
      <c r="R315" s="50"/>
      <c r="S315" s="50"/>
      <c r="T315" s="50"/>
      <c r="U315" s="50"/>
      <c r="V315" s="50"/>
      <c r="W315" s="50"/>
      <c r="X315" s="50"/>
      <c r="Y315" s="50"/>
      <c r="Z315" s="50"/>
      <c r="AA315" s="50"/>
      <c r="AB315" s="50"/>
      <c r="AC315" s="50"/>
    </row>
    <row r="316">
      <c r="A316" s="48" t="s">
        <v>1703</v>
      </c>
      <c r="B316" s="49" t="s">
        <v>2716</v>
      </c>
      <c r="C316" s="48" t="s">
        <v>2717</v>
      </c>
      <c r="D316" s="50" t="str">
        <f>IFERROR(__xludf.DUMMYFUNCTION("""COMPUTED_VALUE"""),"Kwaï Muk")</f>
        <v>Kwaï Muk</v>
      </c>
      <c r="E316" s="50"/>
      <c r="F316" s="50" t="s">
        <v>2718</v>
      </c>
      <c r="G316" s="50" t="s">
        <v>2718</v>
      </c>
      <c r="H316" s="50" t="s">
        <v>1710</v>
      </c>
      <c r="I316" s="50" t="s">
        <v>2719</v>
      </c>
      <c r="J316" s="50"/>
      <c r="K316" s="50"/>
      <c r="L316" s="50"/>
      <c r="M316" s="50"/>
      <c r="N316" s="50"/>
      <c r="O316" s="50"/>
      <c r="P316" s="50"/>
      <c r="Q316" s="50"/>
      <c r="R316" s="50"/>
      <c r="S316" s="50"/>
      <c r="T316" s="50"/>
      <c r="U316" s="50"/>
      <c r="V316" s="50"/>
      <c r="W316" s="50"/>
      <c r="X316" s="50"/>
      <c r="Y316" s="50"/>
      <c r="Z316" s="50"/>
      <c r="AA316" s="50"/>
      <c r="AB316" s="50"/>
      <c r="AC316" s="50"/>
    </row>
    <row r="317">
      <c r="A317" s="48" t="s">
        <v>1703</v>
      </c>
      <c r="B317" s="49" t="s">
        <v>2720</v>
      </c>
      <c r="C317" s="48" t="s">
        <v>2721</v>
      </c>
      <c r="D317" s="50" t="str">
        <f>IFERROR(__xludf.DUMMYFUNCTION("""COMPUTED_VALUE"""),"Asperge")</f>
        <v>Asperge</v>
      </c>
      <c r="E317" s="50"/>
      <c r="F317" s="50" t="s">
        <v>2722</v>
      </c>
      <c r="G317" s="50" t="s">
        <v>2722</v>
      </c>
      <c r="H317" s="50" t="s">
        <v>1710</v>
      </c>
      <c r="I317" s="50" t="s">
        <v>2723</v>
      </c>
      <c r="J317" s="50"/>
      <c r="K317" s="50"/>
      <c r="L317" s="50"/>
      <c r="M317" s="50"/>
      <c r="N317" s="50"/>
      <c r="O317" s="50"/>
      <c r="P317" s="50"/>
      <c r="Q317" s="50"/>
      <c r="R317" s="50"/>
      <c r="S317" s="50"/>
      <c r="T317" s="50"/>
      <c r="U317" s="50"/>
      <c r="V317" s="50"/>
      <c r="W317" s="50"/>
      <c r="X317" s="50"/>
      <c r="Y317" s="50"/>
      <c r="Z317" s="50"/>
      <c r="AA317" s="50"/>
      <c r="AB317" s="50"/>
      <c r="AC317" s="50"/>
    </row>
    <row r="318">
      <c r="A318" s="48" t="s">
        <v>1703</v>
      </c>
      <c r="B318" s="49" t="s">
        <v>2724</v>
      </c>
      <c r="C318" s="48" t="s">
        <v>2725</v>
      </c>
      <c r="D318" s="50" t="str">
        <f>IFERROR(__xludf.DUMMYFUNCTION("""COMPUTED_VALUE"""),"Bilimbi")</f>
        <v>Bilimbi</v>
      </c>
      <c r="E318" s="50"/>
      <c r="F318" s="50" t="s">
        <v>2725</v>
      </c>
      <c r="G318" s="50" t="s">
        <v>2725</v>
      </c>
      <c r="H318" s="50" t="s">
        <v>1710</v>
      </c>
      <c r="I318" s="50" t="s">
        <v>2726</v>
      </c>
      <c r="J318" s="50"/>
      <c r="K318" s="50"/>
      <c r="L318" s="50"/>
      <c r="M318" s="50"/>
      <c r="N318" s="50"/>
      <c r="O318" s="50"/>
      <c r="P318" s="50"/>
      <c r="Q318" s="50"/>
      <c r="R318" s="50"/>
      <c r="S318" s="50"/>
      <c r="T318" s="50"/>
      <c r="U318" s="50"/>
      <c r="V318" s="50"/>
      <c r="W318" s="50"/>
      <c r="X318" s="50"/>
      <c r="Y318" s="50"/>
      <c r="Z318" s="50"/>
      <c r="AA318" s="50"/>
      <c r="AB318" s="50"/>
      <c r="AC318" s="50"/>
    </row>
    <row r="319">
      <c r="A319" s="48" t="s">
        <v>1703</v>
      </c>
      <c r="B319" s="49" t="s">
        <v>2727</v>
      </c>
      <c r="C319" s="48" t="s">
        <v>2728</v>
      </c>
      <c r="D319" s="50" t="str">
        <f>IFERROR(__xludf.DUMMYFUNCTION("""COMPUTED_VALUE"""),"Carambole")</f>
        <v>Carambole</v>
      </c>
      <c r="E319" s="50"/>
      <c r="F319" s="50" t="s">
        <v>2729</v>
      </c>
      <c r="G319" s="50" t="s">
        <v>2730</v>
      </c>
      <c r="H319" s="50" t="s">
        <v>1710</v>
      </c>
      <c r="I319" s="50" t="s">
        <v>2731</v>
      </c>
      <c r="J319" s="50"/>
      <c r="K319" s="50"/>
      <c r="L319" s="50"/>
      <c r="M319" s="50"/>
      <c r="N319" s="50"/>
      <c r="O319" s="50"/>
      <c r="P319" s="50"/>
      <c r="Q319" s="50"/>
      <c r="R319" s="50"/>
      <c r="S319" s="50"/>
      <c r="T319" s="50"/>
      <c r="U319" s="50"/>
      <c r="V319" s="50"/>
      <c r="W319" s="50"/>
      <c r="X319" s="50"/>
      <c r="Y319" s="50"/>
      <c r="Z319" s="50"/>
      <c r="AA319" s="50"/>
      <c r="AB319" s="50"/>
      <c r="AC319" s="50"/>
    </row>
    <row r="320">
      <c r="A320" s="48" t="s">
        <v>1703</v>
      </c>
      <c r="B320" s="49" t="s">
        <v>2732</v>
      </c>
      <c r="C320" s="48" t="s">
        <v>2733</v>
      </c>
      <c r="D320" s="50" t="str">
        <f>IFERROR(__xludf.DUMMYFUNCTION("""COMPUTED_VALUE"""),"Palmier Pêcher")</f>
        <v>Palmier Pêcher</v>
      </c>
      <c r="E320" s="50"/>
      <c r="F320" s="50" t="s">
        <v>2734</v>
      </c>
      <c r="G320" s="50" t="s">
        <v>2734</v>
      </c>
      <c r="H320" s="50" t="s">
        <v>1710</v>
      </c>
      <c r="I320" s="50" t="s">
        <v>2735</v>
      </c>
      <c r="J320" s="50"/>
      <c r="K320" s="50"/>
      <c r="L320" s="50"/>
      <c r="M320" s="50"/>
      <c r="N320" s="50"/>
      <c r="O320" s="50"/>
      <c r="P320" s="50"/>
      <c r="Q320" s="50"/>
      <c r="R320" s="50"/>
      <c r="S320" s="50"/>
      <c r="T320" s="50"/>
      <c r="U320" s="50"/>
      <c r="V320" s="50"/>
      <c r="W320" s="50"/>
      <c r="X320" s="50"/>
      <c r="Y320" s="50"/>
      <c r="Z320" s="50"/>
      <c r="AA320" s="50"/>
      <c r="AB320" s="50"/>
      <c r="AC320" s="50"/>
    </row>
    <row r="321">
      <c r="A321" s="48" t="s">
        <v>1703</v>
      </c>
      <c r="B321" s="49" t="s">
        <v>2736</v>
      </c>
      <c r="C321" s="48" t="s">
        <v>2737</v>
      </c>
      <c r="D321" s="50" t="str">
        <f>IFERROR(__xludf.DUMMYFUNCTION("""COMPUTED_VALUE"""),"Bambou Nain Malais")</f>
        <v>Bambou Nain Malais</v>
      </c>
      <c r="E321" s="50"/>
      <c r="F321" s="50" t="s">
        <v>2738</v>
      </c>
      <c r="G321" s="50" t="s">
        <v>2738</v>
      </c>
      <c r="H321" s="50" t="s">
        <v>1710</v>
      </c>
      <c r="I321" s="50" t="s">
        <v>2739</v>
      </c>
      <c r="J321" s="50"/>
      <c r="K321" s="50"/>
      <c r="L321" s="50"/>
      <c r="M321" s="50"/>
      <c r="N321" s="50"/>
      <c r="O321" s="50"/>
      <c r="P321" s="50"/>
      <c r="Q321" s="50"/>
      <c r="R321" s="50"/>
      <c r="S321" s="50"/>
      <c r="T321" s="50"/>
      <c r="U321" s="50"/>
      <c r="V321" s="50"/>
      <c r="W321" s="50"/>
      <c r="X321" s="50"/>
      <c r="Y321" s="50"/>
      <c r="Z321" s="50"/>
      <c r="AA321" s="50"/>
      <c r="AB321" s="50"/>
      <c r="AC321" s="50"/>
    </row>
    <row r="322">
      <c r="A322" s="48" t="s">
        <v>1703</v>
      </c>
      <c r="B322" s="49" t="s">
        <v>2740</v>
      </c>
      <c r="C322" s="48" t="s">
        <v>2741</v>
      </c>
      <c r="D322" s="50" t="str">
        <f>IFERROR(__xludf.DUMMYFUNCTION("""COMPUTED_VALUE"""),"Bambou Brise De Mer")</f>
        <v>Bambou Brise De Mer</v>
      </c>
      <c r="E322" s="50"/>
      <c r="F322" s="50" t="s">
        <v>2742</v>
      </c>
      <c r="G322" s="50" t="s">
        <v>2742</v>
      </c>
      <c r="H322" s="50" t="s">
        <v>1710</v>
      </c>
      <c r="I322" s="50" t="s">
        <v>2743</v>
      </c>
      <c r="J322" s="50"/>
      <c r="K322" s="50"/>
      <c r="L322" s="50"/>
      <c r="M322" s="50"/>
      <c r="N322" s="50"/>
      <c r="O322" s="50"/>
      <c r="P322" s="50"/>
      <c r="Q322" s="50"/>
      <c r="R322" s="50"/>
      <c r="S322" s="50"/>
      <c r="T322" s="50"/>
      <c r="U322" s="50"/>
      <c r="V322" s="50"/>
      <c r="W322" s="50"/>
      <c r="X322" s="50"/>
      <c r="Y322" s="50"/>
      <c r="Z322" s="50"/>
      <c r="AA322" s="50"/>
      <c r="AB322" s="50"/>
      <c r="AC322" s="50"/>
    </row>
    <row r="323">
      <c r="A323" s="48" t="s">
        <v>1703</v>
      </c>
      <c r="B323" s="49" t="s">
        <v>2744</v>
      </c>
      <c r="C323" s="48" t="s">
        <v>2745</v>
      </c>
      <c r="D323" s="50" t="str">
        <f>IFERROR(__xludf.DUMMYFUNCTION("""COMPUTED_VALUE"""),"Bambou Ladyfinger")</f>
        <v>Bambou Ladyfinger</v>
      </c>
      <c r="E323" s="50"/>
      <c r="F323" s="50" t="s">
        <v>2746</v>
      </c>
      <c r="G323" s="50" t="s">
        <v>2746</v>
      </c>
      <c r="H323" s="50" t="s">
        <v>1710</v>
      </c>
      <c r="I323" s="50" t="s">
        <v>2747</v>
      </c>
      <c r="J323" s="50"/>
      <c r="K323" s="50"/>
      <c r="L323" s="50"/>
      <c r="M323" s="50"/>
      <c r="N323" s="50"/>
      <c r="O323" s="50"/>
      <c r="P323" s="50"/>
      <c r="Q323" s="50"/>
      <c r="R323" s="50"/>
      <c r="S323" s="50"/>
      <c r="T323" s="50"/>
      <c r="U323" s="50"/>
      <c r="V323" s="50"/>
      <c r="W323" s="50"/>
      <c r="X323" s="50"/>
      <c r="Y323" s="50"/>
      <c r="Z323" s="50"/>
      <c r="AA323" s="50"/>
      <c r="AB323" s="50"/>
      <c r="AC323" s="50"/>
    </row>
    <row r="324">
      <c r="A324" s="48" t="s">
        <v>1703</v>
      </c>
      <c r="B324" s="49" t="s">
        <v>2748</v>
      </c>
      <c r="C324" s="48" t="s">
        <v>2749</v>
      </c>
      <c r="D324" s="50" t="str">
        <f>IFERROR(__xludf.DUMMYFUNCTION("""COMPUTED_VALUE"""),"Bambou Gracieux")</f>
        <v>Bambou Gracieux</v>
      </c>
      <c r="E324" s="50"/>
      <c r="F324" s="50" t="s">
        <v>2750</v>
      </c>
      <c r="G324" s="50" t="s">
        <v>2750</v>
      </c>
      <c r="H324" s="50" t="s">
        <v>1710</v>
      </c>
      <c r="I324" s="50" t="s">
        <v>2751</v>
      </c>
      <c r="J324" s="50"/>
      <c r="K324" s="50"/>
      <c r="L324" s="50"/>
      <c r="M324" s="50"/>
      <c r="N324" s="50"/>
      <c r="O324" s="50"/>
      <c r="P324" s="50"/>
      <c r="Q324" s="50"/>
      <c r="R324" s="50"/>
      <c r="S324" s="50"/>
      <c r="T324" s="50"/>
      <c r="U324" s="50"/>
      <c r="V324" s="50"/>
      <c r="W324" s="50"/>
      <c r="X324" s="50"/>
      <c r="Y324" s="50"/>
      <c r="Z324" s="50"/>
      <c r="AA324" s="50"/>
      <c r="AB324" s="50"/>
      <c r="AC324" s="50"/>
    </row>
    <row r="325">
      <c r="A325" s="48" t="s">
        <v>1703</v>
      </c>
      <c r="B325" s="49" t="s">
        <v>2752</v>
      </c>
      <c r="C325" s="48" t="s">
        <v>2753</v>
      </c>
      <c r="D325" s="50" t="str">
        <f>IFERROR(__xludf.DUMMYFUNCTION("""COMPUTED_VALUE"""),"Moutarde/Chou Frisé Éthiopien")</f>
        <v>Moutarde/Chou Frisé Éthiopien</v>
      </c>
      <c r="E325" s="50"/>
      <c r="F325" s="50" t="s">
        <v>2754</v>
      </c>
      <c r="G325" s="50" t="s">
        <v>2754</v>
      </c>
      <c r="H325" s="50" t="s">
        <v>1710</v>
      </c>
      <c r="I325" s="50" t="s">
        <v>2755</v>
      </c>
      <c r="J325" s="50"/>
      <c r="K325" s="50"/>
      <c r="L325" s="50"/>
      <c r="M325" s="50"/>
      <c r="N325" s="50"/>
      <c r="O325" s="50"/>
      <c r="P325" s="50"/>
      <c r="Q325" s="50"/>
      <c r="R325" s="50"/>
      <c r="S325" s="50"/>
      <c r="T325" s="50"/>
      <c r="U325" s="50"/>
      <c r="V325" s="50"/>
      <c r="W325" s="50"/>
      <c r="X325" s="50"/>
      <c r="Y325" s="50"/>
      <c r="Z325" s="50"/>
      <c r="AA325" s="50"/>
      <c r="AB325" s="50"/>
      <c r="AC325" s="50"/>
    </row>
    <row r="326">
      <c r="A326" s="48" t="s">
        <v>1703</v>
      </c>
      <c r="B326" s="49" t="s">
        <v>2756</v>
      </c>
      <c r="C326" s="48" t="s">
        <v>2757</v>
      </c>
      <c r="D326" s="50" t="str">
        <f>IFERROR(__xludf.DUMMYFUNCTION("""COMPUTED_VALUE"""),"Chou Frisé")</f>
        <v>Chou Frisé</v>
      </c>
      <c r="E326" s="50"/>
      <c r="F326" s="50" t="s">
        <v>2758</v>
      </c>
      <c r="G326" s="50" t="s">
        <v>2758</v>
      </c>
      <c r="H326" s="50" t="s">
        <v>1710</v>
      </c>
      <c r="I326" s="50" t="s">
        <v>2759</v>
      </c>
      <c r="J326" s="50"/>
      <c r="K326" s="50"/>
      <c r="L326" s="50"/>
      <c r="M326" s="50"/>
      <c r="N326" s="50"/>
      <c r="O326" s="50"/>
      <c r="P326" s="50"/>
      <c r="Q326" s="50"/>
      <c r="R326" s="50"/>
      <c r="S326" s="50"/>
      <c r="T326" s="50"/>
      <c r="U326" s="50"/>
      <c r="V326" s="50"/>
      <c r="W326" s="50"/>
      <c r="X326" s="50"/>
      <c r="Y326" s="50"/>
      <c r="Z326" s="50"/>
      <c r="AA326" s="50"/>
      <c r="AB326" s="50"/>
      <c r="AC326" s="50"/>
    </row>
    <row r="327">
      <c r="A327" s="48" t="s">
        <v>1703</v>
      </c>
      <c r="B327" s="49" t="s">
        <v>2760</v>
      </c>
      <c r="C327" s="48" t="s">
        <v>2761</v>
      </c>
      <c r="D327" s="50" t="str">
        <f>IFERROR(__xludf.DUMMYFUNCTION("""COMPUTED_VALUE"""),"Fruits Au Beurre De Cacahuète")</f>
        <v>Fruits Au Beurre De Cacahuète</v>
      </c>
      <c r="E327" s="50"/>
      <c r="F327" s="50" t="s">
        <v>2762</v>
      </c>
      <c r="G327" s="50" t="s">
        <v>2762</v>
      </c>
      <c r="H327" s="50" t="s">
        <v>1710</v>
      </c>
      <c r="I327" s="50" t="s">
        <v>2763</v>
      </c>
      <c r="J327" s="50"/>
      <c r="K327" s="50"/>
      <c r="L327" s="50"/>
      <c r="M327" s="50"/>
      <c r="N327" s="50"/>
      <c r="O327" s="50"/>
      <c r="P327" s="50"/>
      <c r="Q327" s="50"/>
      <c r="R327" s="50"/>
      <c r="S327" s="50"/>
      <c r="T327" s="50"/>
      <c r="U327" s="50"/>
      <c r="V327" s="50"/>
      <c r="W327" s="50"/>
      <c r="X327" s="50"/>
      <c r="Y327" s="50"/>
      <c r="Z327" s="50"/>
      <c r="AA327" s="50"/>
      <c r="AB327" s="50"/>
      <c r="AC327" s="50"/>
    </row>
    <row r="328">
      <c r="A328" s="48" t="s">
        <v>1703</v>
      </c>
      <c r="B328" s="49" t="s">
        <v>2764</v>
      </c>
      <c r="C328" s="48" t="s">
        <v>2765</v>
      </c>
      <c r="D328" s="50" t="str">
        <f>IFERROR(__xludf.DUMMYFUNCTION("""COMPUTED_VALUE"""),"Pois D'Angole")</f>
        <v>Pois D'Angole</v>
      </c>
      <c r="E328" s="50"/>
      <c r="F328" s="50" t="s">
        <v>2766</v>
      </c>
      <c r="G328" s="50" t="s">
        <v>2766</v>
      </c>
      <c r="H328" s="50" t="s">
        <v>1710</v>
      </c>
      <c r="I328" s="50" t="s">
        <v>2767</v>
      </c>
      <c r="J328" s="50"/>
      <c r="K328" s="50"/>
      <c r="L328" s="50"/>
      <c r="M328" s="50"/>
      <c r="N328" s="50"/>
      <c r="O328" s="50"/>
      <c r="P328" s="50"/>
      <c r="Q328" s="50"/>
      <c r="R328" s="50"/>
      <c r="S328" s="50"/>
      <c r="T328" s="50"/>
      <c r="U328" s="50"/>
      <c r="V328" s="50"/>
      <c r="W328" s="50"/>
      <c r="X328" s="50"/>
      <c r="Y328" s="50"/>
      <c r="Z328" s="50"/>
      <c r="AA328" s="50"/>
      <c r="AB328" s="50"/>
      <c r="AC328" s="50"/>
    </row>
    <row r="329">
      <c r="A329" s="48" t="s">
        <v>1703</v>
      </c>
      <c r="B329" s="49" t="s">
        <v>2768</v>
      </c>
      <c r="C329" s="48" t="s">
        <v>2769</v>
      </c>
      <c r="D329" s="50" t="str">
        <f>IFERROR(__xludf.DUMMYFUNCTION("""COMPUTED_VALUE"""),"Poivron")</f>
        <v>Poivron</v>
      </c>
      <c r="E329" s="50"/>
      <c r="F329" s="50" t="s">
        <v>2770</v>
      </c>
      <c r="G329" s="50" t="s">
        <v>2770</v>
      </c>
      <c r="H329" s="50" t="s">
        <v>1710</v>
      </c>
      <c r="I329" s="50" t="s">
        <v>2771</v>
      </c>
      <c r="J329" s="50"/>
      <c r="K329" s="50"/>
      <c r="L329" s="50"/>
      <c r="M329" s="50"/>
      <c r="N329" s="50"/>
      <c r="O329" s="50"/>
      <c r="P329" s="50"/>
      <c r="Q329" s="50"/>
      <c r="R329" s="50"/>
      <c r="S329" s="50"/>
      <c r="T329" s="50"/>
      <c r="U329" s="50"/>
      <c r="V329" s="50"/>
      <c r="W329" s="50"/>
      <c r="X329" s="50"/>
      <c r="Y329" s="50"/>
      <c r="Z329" s="50"/>
      <c r="AA329" s="50"/>
      <c r="AB329" s="50"/>
      <c r="AC329" s="50"/>
    </row>
    <row r="330">
      <c r="A330" s="48" t="s">
        <v>1703</v>
      </c>
      <c r="B330" s="49" t="s">
        <v>2772</v>
      </c>
      <c r="C330" s="48" t="s">
        <v>2773</v>
      </c>
      <c r="D330" s="50" t="str">
        <f>IFERROR(__xludf.DUMMYFUNCTION("""COMPUTED_VALUE"""),"Poivre De Habanero")</f>
        <v>Poivre De Habanero</v>
      </c>
      <c r="E330" s="50"/>
      <c r="F330" s="50" t="s">
        <v>2774</v>
      </c>
      <c r="G330" s="50" t="s">
        <v>2774</v>
      </c>
      <c r="H330" s="50" t="s">
        <v>1710</v>
      </c>
      <c r="I330" s="50" t="s">
        <v>2775</v>
      </c>
      <c r="J330" s="50"/>
      <c r="K330" s="50"/>
      <c r="L330" s="50"/>
      <c r="M330" s="50"/>
      <c r="N330" s="50"/>
      <c r="O330" s="50"/>
      <c r="P330" s="50"/>
      <c r="Q330" s="50"/>
      <c r="R330" s="50"/>
      <c r="S330" s="50"/>
      <c r="T330" s="50"/>
      <c r="U330" s="50"/>
      <c r="V330" s="50"/>
      <c r="W330" s="50"/>
      <c r="X330" s="50"/>
      <c r="Y330" s="50"/>
      <c r="Z330" s="50"/>
      <c r="AA330" s="50"/>
      <c r="AB330" s="50"/>
      <c r="AC330" s="50"/>
    </row>
    <row r="331">
      <c r="A331" s="48" t="s">
        <v>1703</v>
      </c>
      <c r="B331" s="49" t="s">
        <v>2776</v>
      </c>
      <c r="C331" s="48" t="s">
        <v>2777</v>
      </c>
      <c r="D331" s="50" t="str">
        <f>IFERROR(__xludf.DUMMYFUNCTION("""COMPUTED_VALUE"""),"Papaye")</f>
        <v>Papaye</v>
      </c>
      <c r="E331" s="50"/>
      <c r="F331" s="50" t="s">
        <v>2778</v>
      </c>
      <c r="G331" s="50" t="s">
        <v>2778</v>
      </c>
      <c r="H331" s="50" t="s">
        <v>1710</v>
      </c>
      <c r="I331" s="50" t="s">
        <v>2779</v>
      </c>
      <c r="J331" s="50"/>
      <c r="K331" s="50"/>
      <c r="L331" s="50"/>
      <c r="M331" s="50"/>
      <c r="N331" s="50"/>
      <c r="O331" s="50"/>
      <c r="P331" s="50"/>
      <c r="Q331" s="50"/>
      <c r="R331" s="50"/>
      <c r="S331" s="50"/>
      <c r="T331" s="50"/>
      <c r="U331" s="50"/>
      <c r="V331" s="50"/>
      <c r="W331" s="50"/>
      <c r="X331" s="50"/>
      <c r="Y331" s="50"/>
      <c r="Z331" s="50"/>
      <c r="AA331" s="50"/>
      <c r="AB331" s="50"/>
      <c r="AC331" s="50"/>
    </row>
    <row r="332">
      <c r="A332" s="48" t="s">
        <v>1703</v>
      </c>
      <c r="B332" s="49" t="s">
        <v>2780</v>
      </c>
      <c r="C332" s="48" t="s">
        <v>2781</v>
      </c>
      <c r="D332" s="50" t="str">
        <f>IFERROR(__xludf.DUMMYFUNCTION("""COMPUTED_VALUE"""),"Prune Du Natal")</f>
        <v>Prune Du Natal</v>
      </c>
      <c r="E332" s="50"/>
      <c r="F332" s="50" t="s">
        <v>2782</v>
      </c>
      <c r="G332" s="50" t="s">
        <v>2782</v>
      </c>
      <c r="H332" s="50" t="s">
        <v>1710</v>
      </c>
      <c r="I332" s="50" t="s">
        <v>2783</v>
      </c>
      <c r="J332" s="50"/>
      <c r="K332" s="50"/>
      <c r="L332" s="50"/>
      <c r="M332" s="50"/>
      <c r="N332" s="50"/>
      <c r="O332" s="50"/>
      <c r="P332" s="50"/>
      <c r="Q332" s="50"/>
      <c r="R332" s="50"/>
      <c r="S332" s="50"/>
      <c r="T332" s="50"/>
      <c r="U332" s="50"/>
      <c r="V332" s="50"/>
      <c r="W332" s="50"/>
      <c r="X332" s="50"/>
      <c r="Y332" s="50"/>
      <c r="Z332" s="50"/>
      <c r="AA332" s="50"/>
      <c r="AB332" s="50"/>
      <c r="AC332" s="50"/>
    </row>
    <row r="333">
      <c r="A333" s="48" t="s">
        <v>1703</v>
      </c>
      <c r="B333" s="49" t="s">
        <v>2784</v>
      </c>
      <c r="C333" s="48" t="s">
        <v>2785</v>
      </c>
      <c r="D333" s="50" t="str">
        <f>IFERROR(__xludf.DUMMYFUNCTION("""COMPUTED_VALUE"""),"Sapote Blanche")</f>
        <v>Sapote Blanche</v>
      </c>
      <c r="E333" s="50"/>
      <c r="F333" s="50" t="s">
        <v>2786</v>
      </c>
      <c r="G333" s="50" t="s">
        <v>2786</v>
      </c>
      <c r="H333" s="50" t="s">
        <v>1710</v>
      </c>
      <c r="I333" s="50" t="s">
        <v>2787</v>
      </c>
      <c r="J333" s="50"/>
      <c r="K333" s="50"/>
      <c r="L333" s="50"/>
      <c r="M333" s="50"/>
      <c r="N333" s="50"/>
      <c r="O333" s="50"/>
      <c r="P333" s="50"/>
      <c r="Q333" s="50"/>
      <c r="R333" s="50"/>
      <c r="S333" s="50"/>
      <c r="T333" s="50"/>
      <c r="U333" s="50"/>
      <c r="V333" s="50"/>
      <c r="W333" s="50"/>
      <c r="X333" s="50"/>
      <c r="Y333" s="50"/>
      <c r="Z333" s="50"/>
      <c r="AA333" s="50"/>
      <c r="AB333" s="50"/>
      <c r="AC333" s="50"/>
    </row>
    <row r="334">
      <c r="A334" s="48" t="s">
        <v>1703</v>
      </c>
      <c r="B334" s="49" t="s">
        <v>2788</v>
      </c>
      <c r="C334" s="48" t="s">
        <v>2789</v>
      </c>
      <c r="D334" s="50" t="str">
        <f>IFERROR(__xludf.DUMMYFUNCTION("""COMPUTED_VALUE"""),"Épinards De Lagos")</f>
        <v>Épinards De Lagos</v>
      </c>
      <c r="E334" s="50"/>
      <c r="F334" s="50" t="s">
        <v>2790</v>
      </c>
      <c r="G334" s="50" t="s">
        <v>2790</v>
      </c>
      <c r="H334" s="50" t="s">
        <v>1710</v>
      </c>
      <c r="I334" s="50" t="s">
        <v>2791</v>
      </c>
      <c r="J334" s="50"/>
      <c r="K334" s="50"/>
      <c r="L334" s="50"/>
      <c r="M334" s="50"/>
      <c r="N334" s="50"/>
      <c r="O334" s="50"/>
      <c r="P334" s="50"/>
      <c r="Q334" s="50"/>
      <c r="R334" s="50"/>
      <c r="S334" s="50"/>
      <c r="T334" s="50"/>
      <c r="U334" s="50"/>
      <c r="V334" s="50"/>
      <c r="W334" s="50"/>
      <c r="X334" s="50"/>
      <c r="Y334" s="50"/>
      <c r="Z334" s="50"/>
      <c r="AA334" s="50"/>
      <c r="AB334" s="50"/>
      <c r="AC334" s="50"/>
    </row>
    <row r="335">
      <c r="A335" s="48" t="s">
        <v>1703</v>
      </c>
      <c r="B335" s="49" t="s">
        <v>2792</v>
      </c>
      <c r="C335" s="48" t="s">
        <v>2793</v>
      </c>
      <c r="D335" s="50" t="str">
        <f>IFERROR(__xludf.DUMMYFUNCTION("""COMPUTED_VALUE"""),"Prune Coco")</f>
        <v>Prune Coco</v>
      </c>
      <c r="E335" s="50"/>
      <c r="F335" s="50" t="s">
        <v>2794</v>
      </c>
      <c r="G335" s="50" t="s">
        <v>2794</v>
      </c>
      <c r="H335" s="50" t="s">
        <v>1710</v>
      </c>
      <c r="I335" s="50" t="s">
        <v>2795</v>
      </c>
      <c r="J335" s="50"/>
      <c r="K335" s="50"/>
      <c r="L335" s="50"/>
      <c r="M335" s="50"/>
      <c r="N335" s="50"/>
      <c r="O335" s="50"/>
      <c r="P335" s="50"/>
      <c r="Q335" s="50"/>
      <c r="R335" s="50"/>
      <c r="S335" s="50"/>
      <c r="T335" s="50"/>
      <c r="U335" s="50"/>
      <c r="V335" s="50"/>
      <c r="W335" s="50"/>
      <c r="X335" s="50"/>
      <c r="Y335" s="50"/>
      <c r="Z335" s="50"/>
      <c r="AA335" s="50"/>
      <c r="AB335" s="50"/>
      <c r="AC335" s="50"/>
    </row>
    <row r="336">
      <c r="A336" s="48" t="s">
        <v>1703</v>
      </c>
      <c r="B336" s="49" t="s">
        <v>2796</v>
      </c>
      <c r="C336" s="48" t="s">
        <v>2797</v>
      </c>
      <c r="D336" s="50" t="str">
        <f>IFERROR(__xludf.DUMMYFUNCTION("""COMPUTED_VALUE"""),"Pomme Étoile")</f>
        <v>Pomme Étoile</v>
      </c>
      <c r="E336" s="50"/>
      <c r="F336" s="50" t="s">
        <v>2798</v>
      </c>
      <c r="G336" s="50" t="s">
        <v>2798</v>
      </c>
      <c r="H336" s="50" t="s">
        <v>1710</v>
      </c>
      <c r="I336" s="50" t="s">
        <v>2799</v>
      </c>
      <c r="J336" s="50"/>
      <c r="K336" s="50"/>
      <c r="L336" s="50"/>
      <c r="M336" s="50"/>
      <c r="N336" s="50"/>
      <c r="O336" s="50"/>
      <c r="P336" s="50"/>
      <c r="Q336" s="50"/>
      <c r="R336" s="50"/>
      <c r="S336" s="50"/>
      <c r="T336" s="50"/>
      <c r="U336" s="50"/>
      <c r="V336" s="50"/>
      <c r="W336" s="50"/>
      <c r="X336" s="50"/>
      <c r="Y336" s="50"/>
      <c r="Z336" s="50"/>
      <c r="AA336" s="50"/>
      <c r="AB336" s="50"/>
      <c r="AC336" s="50"/>
    </row>
    <row r="337">
      <c r="A337" s="48" t="s">
        <v>1703</v>
      </c>
      <c r="B337" s="49" t="s">
        <v>2800</v>
      </c>
      <c r="C337" s="48" t="s">
        <v>2801</v>
      </c>
      <c r="D337" s="50" t="str">
        <f>IFERROR(__xludf.DUMMYFUNCTION("""COMPUTED_VALUE"""),"Pastèque")</f>
        <v>Pastèque</v>
      </c>
      <c r="E337" s="50"/>
      <c r="F337" s="50" t="s">
        <v>2802</v>
      </c>
      <c r="G337" s="50" t="s">
        <v>2802</v>
      </c>
      <c r="H337" s="50" t="s">
        <v>1710</v>
      </c>
      <c r="I337" s="50" t="s">
        <v>2803</v>
      </c>
      <c r="J337" s="50"/>
      <c r="K337" s="50"/>
      <c r="L337" s="50"/>
      <c r="M337" s="50"/>
      <c r="N337" s="50"/>
      <c r="O337" s="50"/>
      <c r="P337" s="50"/>
      <c r="Q337" s="50"/>
      <c r="R337" s="50"/>
      <c r="S337" s="50"/>
      <c r="T337" s="50"/>
      <c r="U337" s="50"/>
      <c r="V337" s="50"/>
      <c r="W337" s="50"/>
      <c r="X337" s="50"/>
      <c r="Y337" s="50"/>
      <c r="Z337" s="50"/>
      <c r="AA337" s="50"/>
      <c r="AB337" s="50"/>
      <c r="AC337" s="50"/>
    </row>
    <row r="338">
      <c r="A338" s="48" t="s">
        <v>1703</v>
      </c>
      <c r="B338" s="49" t="s">
        <v>2804</v>
      </c>
      <c r="C338" s="48" t="s">
        <v>2805</v>
      </c>
      <c r="D338" s="50" t="str">
        <f>IFERROR(__xludf.DUMMYFUNCTION("""COMPUTED_VALUE"""),"Chaya")</f>
        <v>Chaya</v>
      </c>
      <c r="E338" s="50"/>
      <c r="F338" s="50" t="s">
        <v>2805</v>
      </c>
      <c r="G338" s="50" t="s">
        <v>2805</v>
      </c>
      <c r="H338" s="50" t="s">
        <v>1710</v>
      </c>
      <c r="I338" s="50" t="s">
        <v>2806</v>
      </c>
      <c r="J338" s="50"/>
      <c r="K338" s="50"/>
      <c r="L338" s="50"/>
      <c r="M338" s="50"/>
      <c r="N338" s="50"/>
      <c r="O338" s="50"/>
      <c r="P338" s="50"/>
      <c r="Q338" s="50"/>
      <c r="R338" s="50"/>
      <c r="S338" s="50"/>
      <c r="T338" s="50"/>
      <c r="U338" s="50"/>
      <c r="V338" s="50"/>
      <c r="W338" s="50"/>
      <c r="X338" s="50"/>
      <c r="Y338" s="50"/>
      <c r="Z338" s="50"/>
      <c r="AA338" s="50"/>
      <c r="AB338" s="50"/>
      <c r="AC338" s="50"/>
    </row>
    <row r="339">
      <c r="A339" s="48" t="s">
        <v>1703</v>
      </c>
      <c r="B339" s="49" t="s">
        <v>2807</v>
      </c>
      <c r="C339" s="48" t="s">
        <v>2808</v>
      </c>
      <c r="D339" s="50" t="str">
        <f>IFERROR(__xludf.DUMMYFUNCTION("""COMPUTED_VALUE"""),"Noix De Kola")</f>
        <v>Noix De Kola</v>
      </c>
      <c r="E339" s="50"/>
      <c r="F339" s="50" t="s">
        <v>2809</v>
      </c>
      <c r="G339" s="50" t="s">
        <v>2809</v>
      </c>
      <c r="H339" s="50" t="s">
        <v>1710</v>
      </c>
      <c r="I339" s="50" t="s">
        <v>2810</v>
      </c>
      <c r="J339" s="50"/>
      <c r="K339" s="50"/>
      <c r="L339" s="50"/>
      <c r="M339" s="50"/>
      <c r="N339" s="50"/>
      <c r="O339" s="50"/>
      <c r="P339" s="50"/>
      <c r="Q339" s="50"/>
      <c r="R339" s="50"/>
      <c r="S339" s="50"/>
      <c r="T339" s="50"/>
      <c r="U339" s="50"/>
      <c r="V339" s="50"/>
      <c r="W339" s="50"/>
      <c r="X339" s="50"/>
      <c r="Y339" s="50"/>
      <c r="Z339" s="50"/>
      <c r="AA339" s="50"/>
      <c r="AB339" s="50"/>
      <c r="AC339" s="50"/>
    </row>
    <row r="340">
      <c r="A340" s="48" t="s">
        <v>1703</v>
      </c>
      <c r="B340" s="49" t="s">
        <v>2811</v>
      </c>
      <c r="C340" s="48" t="s">
        <v>2812</v>
      </c>
      <c r="D340" s="50" t="str">
        <f>IFERROR(__xludf.DUMMYFUNCTION("""COMPUTED_VALUE"""),"Origan Cubain")</f>
        <v>Origan Cubain</v>
      </c>
      <c r="E340" s="50"/>
      <c r="F340" s="50" t="s">
        <v>2813</v>
      </c>
      <c r="G340" s="50" t="s">
        <v>2813</v>
      </c>
      <c r="H340" s="50" t="s">
        <v>1710</v>
      </c>
      <c r="I340" s="50" t="s">
        <v>2814</v>
      </c>
      <c r="J340" s="50"/>
      <c r="K340" s="50"/>
      <c r="L340" s="50"/>
      <c r="M340" s="50"/>
      <c r="N340" s="50"/>
      <c r="O340" s="50"/>
      <c r="P340" s="50"/>
      <c r="Q340" s="50"/>
      <c r="R340" s="50"/>
      <c r="S340" s="50"/>
      <c r="T340" s="50"/>
      <c r="U340" s="50"/>
      <c r="V340" s="50"/>
      <c r="W340" s="50"/>
      <c r="X340" s="50"/>
      <c r="Y340" s="50"/>
      <c r="Z340" s="50"/>
      <c r="AA340" s="50"/>
      <c r="AB340" s="50"/>
      <c r="AC340" s="50"/>
    </row>
    <row r="341">
      <c r="A341" s="48" t="s">
        <v>1703</v>
      </c>
      <c r="B341" s="49" t="s">
        <v>2815</v>
      </c>
      <c r="C341" s="48" t="s">
        <v>2816</v>
      </c>
      <c r="D341" s="50" t="str">
        <f>IFERROR(__xludf.DUMMYFUNCTION("""COMPUTED_VALUE"""),"Origan Tropical (Panadol)")</f>
        <v>Origan Tropical (Panadol)</v>
      </c>
      <c r="E341" s="50"/>
      <c r="F341" s="50" t="s">
        <v>2817</v>
      </c>
      <c r="G341" s="50" t="s">
        <v>2817</v>
      </c>
      <c r="H341" s="50" t="s">
        <v>1710</v>
      </c>
      <c r="I341" s="50" t="s">
        <v>2818</v>
      </c>
      <c r="J341" s="50"/>
      <c r="K341" s="50"/>
      <c r="L341" s="50"/>
      <c r="M341" s="50"/>
      <c r="N341" s="50"/>
      <c r="O341" s="50"/>
      <c r="P341" s="50"/>
      <c r="Q341" s="50"/>
      <c r="R341" s="50"/>
      <c r="S341" s="50"/>
      <c r="T341" s="50"/>
      <c r="U341" s="50"/>
      <c r="V341" s="50"/>
      <c r="W341" s="50"/>
      <c r="X341" s="50"/>
      <c r="Y341" s="50"/>
      <c r="Z341" s="50"/>
      <c r="AA341" s="50"/>
      <c r="AB341" s="50"/>
      <c r="AC341" s="50"/>
    </row>
    <row r="342">
      <c r="A342" s="48" t="s">
        <v>1703</v>
      </c>
      <c r="B342" s="49" t="s">
        <v>2819</v>
      </c>
      <c r="C342" s="48" t="s">
        <v>2820</v>
      </c>
      <c r="D342" s="50" t="str">
        <f>IFERROR(__xludf.DUMMYFUNCTION("""COMPUTED_VALUE"""),"Jute")</f>
        <v>Jute</v>
      </c>
      <c r="E342" s="50"/>
      <c r="F342" s="50" t="s">
        <v>2820</v>
      </c>
      <c r="G342" s="50" t="s">
        <v>2820</v>
      </c>
      <c r="H342" s="50" t="s">
        <v>1710</v>
      </c>
      <c r="I342" s="50" t="s">
        <v>2821</v>
      </c>
      <c r="J342" s="50"/>
      <c r="K342" s="50"/>
      <c r="L342" s="50"/>
      <c r="M342" s="50"/>
      <c r="N342" s="50"/>
      <c r="O342" s="50"/>
      <c r="P342" s="50"/>
      <c r="Q342" s="50"/>
      <c r="R342" s="50"/>
      <c r="S342" s="50"/>
      <c r="T342" s="50"/>
      <c r="U342" s="50"/>
      <c r="V342" s="50"/>
      <c r="W342" s="50"/>
      <c r="X342" s="50"/>
      <c r="Y342" s="50"/>
      <c r="Z342" s="50"/>
      <c r="AA342" s="50"/>
      <c r="AB342" s="50"/>
      <c r="AC342" s="50"/>
    </row>
    <row r="343">
      <c r="A343" s="48" t="s">
        <v>1703</v>
      </c>
      <c r="B343" s="49" t="s">
        <v>2822</v>
      </c>
      <c r="C343" s="48" t="s">
        <v>2823</v>
      </c>
      <c r="D343" s="50" t="str">
        <f>IFERROR(__xludf.DUMMYFUNCTION("""COMPUTED_VALUE"""),"Cantaloup")</f>
        <v>Cantaloup</v>
      </c>
      <c r="E343" s="50"/>
      <c r="F343" s="50" t="s">
        <v>2824</v>
      </c>
      <c r="G343" s="50" t="s">
        <v>2824</v>
      </c>
      <c r="H343" s="50" t="s">
        <v>1710</v>
      </c>
      <c r="I343" s="50" t="s">
        <v>2825</v>
      </c>
      <c r="J343" s="50"/>
      <c r="K343" s="50"/>
      <c r="L343" s="50"/>
      <c r="M343" s="50"/>
      <c r="N343" s="50"/>
      <c r="O343" s="50"/>
      <c r="P343" s="50"/>
      <c r="Q343" s="50"/>
      <c r="R343" s="50"/>
      <c r="S343" s="50"/>
      <c r="T343" s="50"/>
      <c r="U343" s="50"/>
      <c r="V343" s="50"/>
      <c r="W343" s="50"/>
      <c r="X343" s="50"/>
      <c r="Y343" s="50"/>
      <c r="Z343" s="50"/>
      <c r="AA343" s="50"/>
      <c r="AB343" s="50"/>
      <c r="AC343" s="50"/>
    </row>
    <row r="344">
      <c r="A344" s="48" t="s">
        <v>1703</v>
      </c>
      <c r="B344" s="49" t="s">
        <v>2826</v>
      </c>
      <c r="C344" s="48" t="s">
        <v>2827</v>
      </c>
      <c r="D344" s="50" t="str">
        <f>IFERROR(__xludf.DUMMYFUNCTION("""COMPUTED_VALUE"""),"Squash")</f>
        <v>Squash</v>
      </c>
      <c r="E344" s="50"/>
      <c r="F344" s="50" t="s">
        <v>2827</v>
      </c>
      <c r="G344" s="50" t="s">
        <v>2827</v>
      </c>
      <c r="H344" s="50" t="s">
        <v>1710</v>
      </c>
      <c r="I344" s="50" t="s">
        <v>2828</v>
      </c>
      <c r="J344" s="50"/>
      <c r="K344" s="50"/>
      <c r="L344" s="50"/>
      <c r="M344" s="50"/>
      <c r="N344" s="50"/>
      <c r="O344" s="50"/>
      <c r="P344" s="50"/>
      <c r="Q344" s="50"/>
      <c r="R344" s="50"/>
      <c r="S344" s="50"/>
      <c r="T344" s="50"/>
      <c r="U344" s="50"/>
      <c r="V344" s="50"/>
      <c r="W344" s="50"/>
      <c r="X344" s="50"/>
      <c r="Y344" s="50"/>
      <c r="Z344" s="50"/>
      <c r="AA344" s="50"/>
      <c r="AB344" s="50"/>
      <c r="AC344" s="50"/>
    </row>
    <row r="345">
      <c r="A345" s="48" t="s">
        <v>1703</v>
      </c>
      <c r="B345" s="49" t="s">
        <v>2829</v>
      </c>
      <c r="C345" s="48" t="s">
        <v>2830</v>
      </c>
      <c r="D345" s="50" t="str">
        <f>IFERROR(__xludf.DUMMYFUNCTION("""COMPUTED_VALUE"""),"Courgettes")</f>
        <v>Courgettes</v>
      </c>
      <c r="E345" s="50"/>
      <c r="F345" s="50" t="s">
        <v>2831</v>
      </c>
      <c r="G345" s="50" t="s">
        <v>2831</v>
      </c>
      <c r="H345" s="50" t="s">
        <v>1710</v>
      </c>
      <c r="I345" s="50" t="s">
        <v>2832</v>
      </c>
      <c r="J345" s="50"/>
      <c r="K345" s="50"/>
      <c r="L345" s="50"/>
      <c r="M345" s="50"/>
      <c r="N345" s="50"/>
      <c r="O345" s="50"/>
      <c r="P345" s="50"/>
      <c r="Q345" s="50"/>
      <c r="R345" s="50"/>
      <c r="S345" s="50"/>
      <c r="T345" s="50"/>
      <c r="U345" s="50"/>
      <c r="V345" s="50"/>
      <c r="W345" s="50"/>
      <c r="X345" s="50"/>
      <c r="Y345" s="50"/>
      <c r="Z345" s="50"/>
      <c r="AA345" s="50"/>
      <c r="AB345" s="50"/>
      <c r="AC345" s="50"/>
    </row>
    <row r="346">
      <c r="A346" s="48" t="s">
        <v>1703</v>
      </c>
      <c r="B346" s="49" t="s">
        <v>2833</v>
      </c>
      <c r="C346" s="48" t="s">
        <v>2834</v>
      </c>
      <c r="D346" s="50" t="str">
        <f>IFERROR(__xludf.DUMMYFUNCTION("""COMPUTED_VALUE"""),"Melon Egusi")</f>
        <v>Melon Egusi</v>
      </c>
      <c r="E346" s="50"/>
      <c r="F346" s="50" t="s">
        <v>2835</v>
      </c>
      <c r="G346" s="50" t="s">
        <v>2835</v>
      </c>
      <c r="H346" s="50" t="s">
        <v>1710</v>
      </c>
      <c r="I346" s="50" t="s">
        <v>2836</v>
      </c>
      <c r="J346" s="50"/>
      <c r="K346" s="50"/>
      <c r="L346" s="50"/>
      <c r="M346" s="50"/>
      <c r="N346" s="50"/>
      <c r="O346" s="50"/>
      <c r="P346" s="50"/>
      <c r="Q346" s="50"/>
      <c r="R346" s="50"/>
      <c r="S346" s="50"/>
      <c r="T346" s="50"/>
      <c r="U346" s="50"/>
      <c r="V346" s="50"/>
      <c r="W346" s="50"/>
      <c r="X346" s="50"/>
      <c r="Y346" s="50"/>
      <c r="Z346" s="50"/>
      <c r="AA346" s="50"/>
      <c r="AB346" s="50"/>
      <c r="AC346" s="50"/>
    </row>
    <row r="347">
      <c r="A347" s="48" t="s">
        <v>1703</v>
      </c>
      <c r="B347" s="49" t="s">
        <v>2837</v>
      </c>
      <c r="C347" s="48" t="s">
        <v>2838</v>
      </c>
      <c r="D347" s="50" t="str">
        <f>IFERROR(__xludf.DUMMYFUNCTION("""COMPUTED_VALUE"""),"Mangue Gingembre")</f>
        <v>Mangue Gingembre</v>
      </c>
      <c r="E347" s="50"/>
      <c r="F347" s="50" t="s">
        <v>2839</v>
      </c>
      <c r="G347" s="50" t="s">
        <v>2839</v>
      </c>
      <c r="H347" s="50" t="s">
        <v>1710</v>
      </c>
      <c r="I347" s="50" t="s">
        <v>2840</v>
      </c>
      <c r="J347" s="50"/>
      <c r="K347" s="50"/>
      <c r="L347" s="50"/>
      <c r="M347" s="50"/>
      <c r="N347" s="50"/>
      <c r="O347" s="50"/>
      <c r="P347" s="50"/>
      <c r="Q347" s="50"/>
      <c r="R347" s="50"/>
      <c r="S347" s="50"/>
      <c r="T347" s="50"/>
      <c r="U347" s="50"/>
      <c r="V347" s="50"/>
      <c r="W347" s="50"/>
      <c r="X347" s="50"/>
      <c r="Y347" s="50"/>
      <c r="Z347" s="50"/>
      <c r="AA347" s="50"/>
      <c r="AB347" s="50"/>
      <c r="AC347" s="50"/>
    </row>
    <row r="348">
      <c r="A348" s="48" t="s">
        <v>1703</v>
      </c>
      <c r="B348" s="49" t="s">
        <v>2841</v>
      </c>
      <c r="C348" s="48" t="s">
        <v>2842</v>
      </c>
      <c r="D348" s="50" t="str">
        <f>IFERROR(__xludf.DUMMYFUNCTION("""COMPUTED_VALUE"""),"Curcuma Noir")</f>
        <v>Curcuma Noir</v>
      </c>
      <c r="E348" s="50"/>
      <c r="F348" s="50" t="s">
        <v>2843</v>
      </c>
      <c r="G348" s="50" t="s">
        <v>2843</v>
      </c>
      <c r="H348" s="50" t="s">
        <v>1710</v>
      </c>
      <c r="I348" s="50" t="s">
        <v>2844</v>
      </c>
      <c r="J348" s="50"/>
      <c r="K348" s="50"/>
      <c r="L348" s="50"/>
      <c r="M348" s="50"/>
      <c r="N348" s="50"/>
      <c r="O348" s="50"/>
      <c r="P348" s="50"/>
      <c r="Q348" s="50"/>
      <c r="R348" s="50"/>
      <c r="S348" s="50"/>
      <c r="T348" s="50"/>
      <c r="U348" s="50"/>
      <c r="V348" s="50"/>
      <c r="W348" s="50"/>
      <c r="X348" s="50"/>
      <c r="Y348" s="50"/>
      <c r="Z348" s="50"/>
      <c r="AA348" s="50"/>
      <c r="AB348" s="50"/>
      <c r="AC348" s="50"/>
    </row>
    <row r="349">
      <c r="A349" s="48" t="s">
        <v>1703</v>
      </c>
      <c r="B349" s="49" t="s">
        <v>2845</v>
      </c>
      <c r="C349" s="48" t="s">
        <v>2846</v>
      </c>
      <c r="D349" s="50" t="str">
        <f>IFERROR(__xludf.DUMMYFUNCTION("""COMPUTED_VALUE"""),"Curcuma")</f>
        <v>Curcuma</v>
      </c>
      <c r="E349" s="50"/>
      <c r="F349" s="50" t="s">
        <v>2847</v>
      </c>
      <c r="G349" s="50" t="s">
        <v>2847</v>
      </c>
      <c r="H349" s="50" t="s">
        <v>1710</v>
      </c>
      <c r="I349" s="50" t="s">
        <v>2848</v>
      </c>
      <c r="J349" s="50"/>
      <c r="K349" s="50"/>
      <c r="L349" s="50"/>
      <c r="M349" s="50"/>
      <c r="N349" s="50"/>
      <c r="O349" s="50"/>
      <c r="P349" s="50"/>
      <c r="Q349" s="50"/>
      <c r="R349" s="50"/>
      <c r="S349" s="50"/>
      <c r="T349" s="50"/>
      <c r="U349" s="50"/>
      <c r="V349" s="50"/>
      <c r="W349" s="50"/>
      <c r="X349" s="50"/>
      <c r="Y349" s="50"/>
      <c r="Z349" s="50"/>
      <c r="AA349" s="50"/>
      <c r="AB349" s="50"/>
      <c r="AC349" s="50"/>
    </row>
    <row r="350">
      <c r="A350" s="48" t="s">
        <v>1703</v>
      </c>
      <c r="B350" s="49" t="s">
        <v>2849</v>
      </c>
      <c r="C350" s="48" t="s">
        <v>2850</v>
      </c>
      <c r="D350" s="50" t="str">
        <f>IFERROR(__xludf.DUMMYFUNCTION("""COMPUTED_VALUE"""),"Tomate Arbustive")</f>
        <v>Tomate Arbustive</v>
      </c>
      <c r="E350" s="50"/>
      <c r="F350" s="50" t="s">
        <v>2851</v>
      </c>
      <c r="G350" s="50" t="s">
        <v>2851</v>
      </c>
      <c r="H350" s="50" t="s">
        <v>1710</v>
      </c>
      <c r="I350" s="50" t="s">
        <v>2852</v>
      </c>
      <c r="J350" s="50"/>
      <c r="K350" s="50"/>
      <c r="L350" s="50"/>
      <c r="M350" s="50"/>
      <c r="N350" s="50"/>
      <c r="O350" s="50"/>
      <c r="P350" s="50"/>
      <c r="Q350" s="50"/>
      <c r="R350" s="50"/>
      <c r="S350" s="50"/>
      <c r="T350" s="50"/>
      <c r="U350" s="50"/>
      <c r="V350" s="50"/>
      <c r="W350" s="50"/>
      <c r="X350" s="50"/>
      <c r="Y350" s="50"/>
      <c r="Z350" s="50"/>
      <c r="AA350" s="50"/>
      <c r="AB350" s="50"/>
      <c r="AC350" s="50"/>
    </row>
    <row r="351">
      <c r="A351" s="48" t="s">
        <v>1703</v>
      </c>
      <c r="B351" s="49" t="s">
        <v>2853</v>
      </c>
      <c r="C351" s="48" t="s">
        <v>2854</v>
      </c>
      <c r="D351" s="50" t="str">
        <f>IFERROR(__xludf.DUMMYFUNCTION("""COMPUTED_VALUE"""),"Bambou Géant")</f>
        <v>Bambou Géant</v>
      </c>
      <c r="E351" s="50"/>
      <c r="F351" s="50" t="s">
        <v>2855</v>
      </c>
      <c r="G351" s="50" t="s">
        <v>2855</v>
      </c>
      <c r="H351" s="50" t="s">
        <v>1710</v>
      </c>
      <c r="I351" s="50" t="s">
        <v>2856</v>
      </c>
      <c r="J351" s="50"/>
      <c r="K351" s="50"/>
      <c r="L351" s="50"/>
      <c r="M351" s="50"/>
      <c r="N351" s="50"/>
      <c r="O351" s="50"/>
      <c r="P351" s="50"/>
      <c r="Q351" s="50"/>
      <c r="R351" s="50"/>
      <c r="S351" s="50"/>
      <c r="T351" s="50"/>
      <c r="U351" s="50"/>
      <c r="V351" s="50"/>
      <c r="W351" s="50"/>
      <c r="X351" s="50"/>
      <c r="Y351" s="50"/>
      <c r="Z351" s="50"/>
      <c r="AA351" s="50"/>
      <c r="AB351" s="50"/>
      <c r="AC351" s="50"/>
    </row>
    <row r="352">
      <c r="A352" s="48" t="s">
        <v>1703</v>
      </c>
      <c r="B352" s="49" t="s">
        <v>2857</v>
      </c>
      <c r="C352" s="48" t="s">
        <v>2858</v>
      </c>
      <c r="D352" s="50" t="str">
        <f>IFERROR(__xludf.DUMMYFUNCTION("""COMPUTED_VALUE"""),"Longane")</f>
        <v>Longane</v>
      </c>
      <c r="E352" s="50"/>
      <c r="F352" s="50" t="s">
        <v>2859</v>
      </c>
      <c r="G352" s="50" t="s">
        <v>2859</v>
      </c>
      <c r="H352" s="50" t="s">
        <v>1710</v>
      </c>
      <c r="I352" s="50" t="s">
        <v>2860</v>
      </c>
      <c r="J352" s="50"/>
      <c r="K352" s="50"/>
      <c r="L352" s="50"/>
      <c r="M352" s="50"/>
      <c r="N352" s="50"/>
      <c r="O352" s="50"/>
      <c r="P352" s="50"/>
      <c r="Q352" s="50"/>
      <c r="R352" s="50"/>
      <c r="S352" s="50"/>
      <c r="T352" s="50"/>
      <c r="U352" s="50"/>
      <c r="V352" s="50"/>
      <c r="W352" s="50"/>
      <c r="X352" s="50"/>
      <c r="Y352" s="50"/>
      <c r="Z352" s="50"/>
      <c r="AA352" s="50"/>
      <c r="AB352" s="50"/>
      <c r="AC352" s="50"/>
    </row>
    <row r="353">
      <c r="A353" s="48" t="s">
        <v>1703</v>
      </c>
      <c r="B353" s="49" t="s">
        <v>2861</v>
      </c>
      <c r="C353" s="48" t="s">
        <v>2862</v>
      </c>
      <c r="D353" s="50" t="str">
        <f>IFERROR(__xludf.DUMMYFUNCTION("""COMPUTED_VALUE"""),"Kaki Velouté")</f>
        <v>Kaki Velouté</v>
      </c>
      <c r="E353" s="50"/>
      <c r="F353" s="50" t="s">
        <v>2863</v>
      </c>
      <c r="G353" s="50" t="s">
        <v>2863</v>
      </c>
      <c r="H353" s="50" t="s">
        <v>1710</v>
      </c>
      <c r="I353" s="50" t="s">
        <v>2864</v>
      </c>
      <c r="J353" s="50"/>
      <c r="K353" s="50"/>
      <c r="L353" s="50"/>
      <c r="M353" s="50"/>
      <c r="N353" s="50"/>
      <c r="O353" s="50"/>
      <c r="P353" s="50"/>
      <c r="Q353" s="50"/>
      <c r="R353" s="50"/>
      <c r="S353" s="50"/>
      <c r="T353" s="50"/>
      <c r="U353" s="50"/>
      <c r="V353" s="50"/>
      <c r="W353" s="50"/>
      <c r="X353" s="50"/>
      <c r="Y353" s="50"/>
      <c r="Z353" s="50"/>
      <c r="AA353" s="50"/>
      <c r="AB353" s="50"/>
      <c r="AC353" s="50"/>
    </row>
    <row r="354">
      <c r="A354" s="48" t="s">
        <v>1703</v>
      </c>
      <c r="B354" s="49" t="s">
        <v>2865</v>
      </c>
      <c r="C354" s="48" t="s">
        <v>2866</v>
      </c>
      <c r="D354" s="50" t="str">
        <f>IFERROR(__xludf.DUMMYFUNCTION("""COMPUTED_VALUE"""),"Kaki Asiatique")</f>
        <v>Kaki Asiatique</v>
      </c>
      <c r="E354" s="50"/>
      <c r="F354" s="50" t="s">
        <v>2867</v>
      </c>
      <c r="G354" s="50" t="s">
        <v>2867</v>
      </c>
      <c r="H354" s="50" t="s">
        <v>1710</v>
      </c>
      <c r="I354" s="50" t="s">
        <v>2868</v>
      </c>
      <c r="J354" s="50"/>
      <c r="K354" s="50"/>
      <c r="L354" s="50"/>
      <c r="M354" s="50"/>
      <c r="N354" s="50"/>
      <c r="O354" s="50"/>
      <c r="P354" s="50"/>
      <c r="Q354" s="50"/>
      <c r="R354" s="50"/>
      <c r="S354" s="50"/>
      <c r="T354" s="50"/>
      <c r="U354" s="50"/>
      <c r="V354" s="50"/>
      <c r="W354" s="50"/>
      <c r="X354" s="50"/>
      <c r="Y354" s="50"/>
      <c r="Z354" s="50"/>
      <c r="AA354" s="50"/>
      <c r="AB354" s="50"/>
      <c r="AC354" s="50"/>
    </row>
    <row r="355">
      <c r="A355" s="48" t="s">
        <v>1703</v>
      </c>
      <c r="B355" s="49" t="s">
        <v>2869</v>
      </c>
      <c r="C355" s="48" t="s">
        <v>2870</v>
      </c>
      <c r="D355" s="50" t="str">
        <f>IFERROR(__xludf.DUMMYFUNCTION("""COMPUTED_VALUE"""),"Sapote Noire")</f>
        <v>Sapote Noire</v>
      </c>
      <c r="E355" s="50"/>
      <c r="F355" s="50" t="s">
        <v>2871</v>
      </c>
      <c r="G355" s="50" t="s">
        <v>2871</v>
      </c>
      <c r="H355" s="50" t="s">
        <v>1710</v>
      </c>
      <c r="I355" s="50" t="s">
        <v>2872</v>
      </c>
      <c r="J355" s="50"/>
      <c r="K355" s="50"/>
      <c r="L355" s="50"/>
      <c r="M355" s="50"/>
      <c r="N355" s="50"/>
      <c r="O355" s="50"/>
      <c r="P355" s="50"/>
      <c r="Q355" s="50"/>
      <c r="R355" s="50"/>
      <c r="S355" s="50"/>
      <c r="T355" s="50"/>
      <c r="U355" s="50"/>
      <c r="V355" s="50"/>
      <c r="W355" s="50"/>
      <c r="X355" s="50"/>
      <c r="Y355" s="50"/>
      <c r="Z355" s="50"/>
      <c r="AA355" s="50"/>
      <c r="AB355" s="50"/>
      <c r="AC355" s="50"/>
    </row>
    <row r="356">
      <c r="A356" s="48" t="s">
        <v>1703</v>
      </c>
      <c r="B356" s="49" t="s">
        <v>2873</v>
      </c>
      <c r="C356" s="48" t="s">
        <v>2874</v>
      </c>
      <c r="D356" s="50" t="str">
        <f>IFERROR(__xludf.DUMMYFUNCTION("""COMPUTED_VALUE"""),"Kaki")</f>
        <v>Kaki</v>
      </c>
      <c r="E356" s="50"/>
      <c r="F356" s="50" t="s">
        <v>2875</v>
      </c>
      <c r="G356" s="50" t="s">
        <v>2875</v>
      </c>
      <c r="H356" s="50" t="s">
        <v>1710</v>
      </c>
      <c r="I356" s="50" t="s">
        <v>2876</v>
      </c>
      <c r="J356" s="50"/>
      <c r="K356" s="50"/>
      <c r="L356" s="50"/>
      <c r="M356" s="50"/>
      <c r="N356" s="50"/>
      <c r="O356" s="50"/>
      <c r="P356" s="50"/>
      <c r="Q356" s="50"/>
      <c r="R356" s="50"/>
      <c r="S356" s="50"/>
      <c r="T356" s="50"/>
      <c r="U356" s="50"/>
      <c r="V356" s="50"/>
      <c r="W356" s="50"/>
      <c r="X356" s="50"/>
      <c r="Y356" s="50"/>
      <c r="Z356" s="50"/>
      <c r="AA356" s="50"/>
      <c r="AB356" s="50"/>
      <c r="AC356" s="50"/>
    </row>
    <row r="357">
      <c r="A357" s="48" t="s">
        <v>1703</v>
      </c>
      <c r="B357" s="49" t="s">
        <v>2877</v>
      </c>
      <c r="C357" s="48" t="s">
        <v>2878</v>
      </c>
      <c r="D357" s="50" t="str">
        <f>IFERROR(__xludf.DUMMYFUNCTION("""COMPUTED_VALUE"""),"Durian")</f>
        <v>Durian</v>
      </c>
      <c r="E357" s="50"/>
      <c r="F357" s="50" t="s">
        <v>2878</v>
      </c>
      <c r="G357" s="50" t="s">
        <v>2878</v>
      </c>
      <c r="H357" s="50" t="s">
        <v>1710</v>
      </c>
      <c r="I357" s="50" t="s">
        <v>2879</v>
      </c>
      <c r="J357" s="50"/>
      <c r="K357" s="50"/>
      <c r="L357" s="50"/>
      <c r="M357" s="50"/>
      <c r="N357" s="50"/>
      <c r="O357" s="50"/>
      <c r="P357" s="50"/>
      <c r="Q357" s="50"/>
      <c r="R357" s="50"/>
      <c r="S357" s="50"/>
      <c r="T357" s="50"/>
      <c r="U357" s="50"/>
      <c r="V357" s="50"/>
      <c r="W357" s="50"/>
      <c r="X357" s="50"/>
      <c r="Y357" s="50"/>
      <c r="Z357" s="50"/>
      <c r="AA357" s="50"/>
      <c r="AB357" s="50"/>
      <c r="AC357" s="50"/>
    </row>
    <row r="358">
      <c r="A358" s="48" t="s">
        <v>1703</v>
      </c>
      <c r="B358" s="49" t="s">
        <v>2880</v>
      </c>
      <c r="C358" s="48" t="s">
        <v>2881</v>
      </c>
      <c r="D358" s="50" t="str">
        <f>IFERROR(__xludf.DUMMYFUNCTION("""COMPUTED_VALUE"""),"Néflier Du Japon")</f>
        <v>Néflier Du Japon</v>
      </c>
      <c r="E358" s="50"/>
      <c r="F358" s="50" t="s">
        <v>2882</v>
      </c>
      <c r="G358" s="50" t="s">
        <v>2882</v>
      </c>
      <c r="H358" s="50" t="s">
        <v>1710</v>
      </c>
      <c r="I358" s="50" t="s">
        <v>2883</v>
      </c>
      <c r="J358" s="50"/>
      <c r="K358" s="50"/>
      <c r="L358" s="50"/>
      <c r="M358" s="50"/>
      <c r="N358" s="50"/>
      <c r="O358" s="50"/>
      <c r="P358" s="50"/>
      <c r="Q358" s="50"/>
      <c r="R358" s="50"/>
      <c r="S358" s="50"/>
      <c r="T358" s="50"/>
      <c r="U358" s="50"/>
      <c r="V358" s="50"/>
      <c r="W358" s="50"/>
      <c r="X358" s="50"/>
      <c r="Y358" s="50"/>
      <c r="Z358" s="50"/>
      <c r="AA358" s="50"/>
      <c r="AB358" s="50"/>
      <c r="AC358" s="50"/>
    </row>
    <row r="359">
      <c r="A359" s="48" t="s">
        <v>1703</v>
      </c>
      <c r="B359" s="49" t="s">
        <v>2884</v>
      </c>
      <c r="C359" s="48" t="s">
        <v>2885</v>
      </c>
      <c r="D359" s="50" t="str">
        <f>IFERROR(__xludf.DUMMYFUNCTION("""COMPUTED_VALUE"""),"Cerise Grumichama (Brasiliensis)")</f>
        <v>Cerise Grumichama (Brasiliensis)</v>
      </c>
      <c r="E359" s="50"/>
      <c r="F359" s="50" t="s">
        <v>2886</v>
      </c>
      <c r="G359" s="50" t="s">
        <v>2886</v>
      </c>
      <c r="H359" s="50" t="s">
        <v>1710</v>
      </c>
      <c r="I359" s="50" t="s">
        <v>2887</v>
      </c>
      <c r="J359" s="50"/>
      <c r="K359" s="50"/>
      <c r="L359" s="50"/>
      <c r="M359" s="50"/>
      <c r="N359" s="50"/>
      <c r="O359" s="50"/>
      <c r="P359" s="50"/>
      <c r="Q359" s="50"/>
      <c r="R359" s="50"/>
      <c r="S359" s="50"/>
      <c r="T359" s="50"/>
      <c r="U359" s="50"/>
      <c r="V359" s="50"/>
      <c r="W359" s="50"/>
      <c r="X359" s="50"/>
      <c r="Y359" s="50"/>
      <c r="Z359" s="50"/>
      <c r="AA359" s="50"/>
      <c r="AB359" s="50"/>
      <c r="AC359" s="50"/>
    </row>
    <row r="360">
      <c r="A360" s="48" t="s">
        <v>1703</v>
      </c>
      <c r="B360" s="49" t="s">
        <v>2888</v>
      </c>
      <c r="C360" s="48" t="s">
        <v>2889</v>
      </c>
      <c r="D360" s="50" t="str">
        <f>IFERROR(__xludf.DUMMYFUNCTION("""COMPUTED_VALUE"""),"Cerise Grumichama (Dombeyi)")</f>
        <v>Cerise Grumichama (Dombeyi)</v>
      </c>
      <c r="E360" s="50"/>
      <c r="F360" s="50" t="s">
        <v>2890</v>
      </c>
      <c r="G360" s="50" t="s">
        <v>2890</v>
      </c>
      <c r="H360" s="50" t="s">
        <v>1710</v>
      </c>
      <c r="I360" s="50" t="s">
        <v>2891</v>
      </c>
      <c r="J360" s="50"/>
      <c r="K360" s="50"/>
      <c r="L360" s="50"/>
      <c r="M360" s="50"/>
      <c r="N360" s="50"/>
      <c r="O360" s="50"/>
      <c r="P360" s="50"/>
      <c r="Q360" s="50"/>
      <c r="R360" s="50"/>
      <c r="S360" s="50"/>
      <c r="T360" s="50"/>
      <c r="U360" s="50"/>
      <c r="V360" s="50"/>
      <c r="W360" s="50"/>
      <c r="X360" s="50"/>
      <c r="Y360" s="50"/>
      <c r="Z360" s="50"/>
      <c r="AA360" s="50"/>
      <c r="AB360" s="50"/>
      <c r="AC360" s="50"/>
    </row>
    <row r="361">
      <c r="A361" s="48" t="s">
        <v>1703</v>
      </c>
      <c r="B361" s="49" t="s">
        <v>2892</v>
      </c>
      <c r="C361" s="48" t="s">
        <v>2893</v>
      </c>
      <c r="D361" s="50" t="str">
        <f>IFERROR(__xludf.DUMMYFUNCTION("""COMPUTED_VALUE"""),"Cerise Du Rio Grande")</f>
        <v>Cerise Du Rio Grande</v>
      </c>
      <c r="E361" s="50"/>
      <c r="F361" s="50" t="s">
        <v>2894</v>
      </c>
      <c r="G361" s="50" t="s">
        <v>2894</v>
      </c>
      <c r="H361" s="50" t="s">
        <v>1710</v>
      </c>
      <c r="I361" s="50" t="s">
        <v>2895</v>
      </c>
      <c r="J361" s="50"/>
      <c r="K361" s="50"/>
      <c r="L361" s="50"/>
      <c r="M361" s="50"/>
      <c r="N361" s="50"/>
      <c r="O361" s="50"/>
      <c r="P361" s="50"/>
      <c r="Q361" s="50"/>
      <c r="R361" s="50"/>
      <c r="S361" s="50"/>
      <c r="T361" s="50"/>
      <c r="U361" s="50"/>
      <c r="V361" s="50"/>
      <c r="W361" s="50"/>
      <c r="X361" s="50"/>
      <c r="Y361" s="50"/>
      <c r="Z361" s="50"/>
      <c r="AA361" s="50"/>
      <c r="AB361" s="50"/>
      <c r="AC361" s="50"/>
    </row>
    <row r="362">
      <c r="A362" s="48" t="s">
        <v>1703</v>
      </c>
      <c r="B362" s="49" t="s">
        <v>2896</v>
      </c>
      <c r="C362" s="48" t="s">
        <v>2897</v>
      </c>
      <c r="D362" s="50" t="str">
        <f>IFERROR(__xludf.DUMMYFUNCTION("""COMPUTED_VALUE"""),"Pitangatuba")</f>
        <v>Pitangatuba</v>
      </c>
      <c r="E362" s="50"/>
      <c r="F362" s="50" t="s">
        <v>2897</v>
      </c>
      <c r="G362" s="50" t="s">
        <v>2897</v>
      </c>
      <c r="H362" s="50" t="s">
        <v>1710</v>
      </c>
      <c r="I362" s="50" t="s">
        <v>2898</v>
      </c>
      <c r="J362" s="50"/>
      <c r="K362" s="50"/>
      <c r="L362" s="50"/>
      <c r="M362" s="50"/>
      <c r="N362" s="50"/>
      <c r="O362" s="50"/>
      <c r="P362" s="50"/>
      <c r="Q362" s="50"/>
      <c r="R362" s="50"/>
      <c r="S362" s="50"/>
      <c r="T362" s="50"/>
      <c r="U362" s="50"/>
      <c r="V362" s="50"/>
      <c r="W362" s="50"/>
      <c r="X362" s="50"/>
      <c r="Y362" s="50"/>
      <c r="Z362" s="50"/>
      <c r="AA362" s="50"/>
      <c r="AB362" s="50"/>
      <c r="AC362" s="50"/>
    </row>
    <row r="363">
      <c r="A363" s="48" t="s">
        <v>1703</v>
      </c>
      <c r="B363" s="49" t="s">
        <v>2899</v>
      </c>
      <c r="C363" s="48" t="s">
        <v>2900</v>
      </c>
      <c r="D363" s="50" t="str">
        <f>IFERROR(__xludf.DUMMYFUNCTION("""COMPUTED_VALUE"""),"Eugénie")</f>
        <v>Eugénie</v>
      </c>
      <c r="E363" s="50"/>
      <c r="F363" s="50" t="s">
        <v>2901</v>
      </c>
      <c r="G363" s="50" t="s">
        <v>2901</v>
      </c>
      <c r="H363" s="50" t="s">
        <v>1710</v>
      </c>
      <c r="I363" s="50" t="s">
        <v>2902</v>
      </c>
      <c r="J363" s="50"/>
      <c r="K363" s="50"/>
      <c r="L363" s="50"/>
      <c r="M363" s="50"/>
      <c r="N363" s="50"/>
      <c r="O363" s="50"/>
      <c r="P363" s="50"/>
      <c r="Q363" s="50"/>
      <c r="R363" s="50"/>
      <c r="S363" s="50"/>
      <c r="T363" s="50"/>
      <c r="U363" s="50"/>
      <c r="V363" s="50"/>
      <c r="W363" s="50"/>
      <c r="X363" s="50"/>
      <c r="Y363" s="50"/>
      <c r="Z363" s="50"/>
      <c r="AA363" s="50"/>
      <c r="AB363" s="50"/>
      <c r="AC363" s="50"/>
    </row>
    <row r="364">
      <c r="A364" s="48" t="s">
        <v>1703</v>
      </c>
      <c r="B364" s="49" t="s">
        <v>2903</v>
      </c>
      <c r="C364" s="48" t="s">
        <v>2904</v>
      </c>
      <c r="D364" s="50" t="str">
        <f>IFERROR(__xludf.DUMMYFUNCTION("""COMPUTED_VALUE"""),"Cerise Du Suriname")</f>
        <v>Cerise Du Suriname</v>
      </c>
      <c r="E364" s="50"/>
      <c r="F364" s="50" t="s">
        <v>2905</v>
      </c>
      <c r="G364" s="50" t="s">
        <v>2905</v>
      </c>
      <c r="H364" s="50" t="s">
        <v>1710</v>
      </c>
      <c r="I364" s="50" t="s">
        <v>2906</v>
      </c>
      <c r="J364" s="50"/>
      <c r="K364" s="50"/>
      <c r="L364" s="50"/>
      <c r="M364" s="50"/>
      <c r="N364" s="50"/>
      <c r="O364" s="50"/>
      <c r="P364" s="50"/>
      <c r="Q364" s="50"/>
      <c r="R364" s="50"/>
      <c r="S364" s="50"/>
      <c r="T364" s="50"/>
      <c r="U364" s="50"/>
      <c r="V364" s="50"/>
      <c r="W364" s="50"/>
      <c r="X364" s="50"/>
      <c r="Y364" s="50"/>
      <c r="Z364" s="50"/>
      <c r="AA364" s="50"/>
      <c r="AB364" s="50"/>
      <c r="AC364" s="50"/>
    </row>
    <row r="365">
      <c r="A365" s="48" t="s">
        <v>1703</v>
      </c>
      <c r="B365" s="49" t="s">
        <v>2907</v>
      </c>
      <c r="C365" s="48" t="s">
        <v>2908</v>
      </c>
      <c r="D365" s="50" t="str">
        <f>IFERROR(__xludf.DUMMYFUNCTION("""COMPUTED_VALUE"""),"Figue")</f>
        <v>Figue</v>
      </c>
      <c r="E365" s="50"/>
      <c r="F365" s="50" t="s">
        <v>2909</v>
      </c>
      <c r="G365" s="50" t="s">
        <v>2909</v>
      </c>
      <c r="H365" s="50" t="s">
        <v>1710</v>
      </c>
      <c r="I365" s="50" t="s">
        <v>2910</v>
      </c>
      <c r="J365" s="50"/>
      <c r="K365" s="50"/>
      <c r="L365" s="50"/>
      <c r="M365" s="50"/>
      <c r="N365" s="50"/>
      <c r="O365" s="50"/>
      <c r="P365" s="50"/>
      <c r="Q365" s="50"/>
      <c r="R365" s="50"/>
      <c r="S365" s="50"/>
      <c r="T365" s="50"/>
      <c r="U365" s="50"/>
      <c r="V365" s="50"/>
      <c r="W365" s="50"/>
      <c r="X365" s="50"/>
      <c r="Y365" s="50"/>
      <c r="Z365" s="50"/>
      <c r="AA365" s="50"/>
      <c r="AB365" s="50"/>
      <c r="AC365" s="50"/>
    </row>
    <row r="366">
      <c r="A366" s="48" t="s">
        <v>1703</v>
      </c>
      <c r="B366" s="49" t="s">
        <v>2911</v>
      </c>
      <c r="C366" s="48" t="s">
        <v>2912</v>
      </c>
      <c r="D366" s="50" t="str">
        <f>IFERROR(__xludf.DUMMYFUNCTION("""COMPUTED_VALUE"""),"Ficus")</f>
        <v>Ficus</v>
      </c>
      <c r="E366" s="50"/>
      <c r="F366" s="50" t="s">
        <v>2912</v>
      </c>
      <c r="G366" s="50" t="s">
        <v>2912</v>
      </c>
      <c r="H366" s="50" t="s">
        <v>1710</v>
      </c>
      <c r="I366" s="50" t="s">
        <v>2913</v>
      </c>
      <c r="J366" s="50"/>
      <c r="K366" s="50"/>
      <c r="L366" s="50"/>
      <c r="M366" s="50"/>
      <c r="N366" s="50"/>
      <c r="O366" s="50"/>
      <c r="P366" s="50"/>
      <c r="Q366" s="50"/>
      <c r="R366" s="50"/>
      <c r="S366" s="50"/>
      <c r="T366" s="50"/>
      <c r="U366" s="50"/>
      <c r="V366" s="50"/>
      <c r="W366" s="50"/>
      <c r="X366" s="50"/>
      <c r="Y366" s="50"/>
      <c r="Z366" s="50"/>
      <c r="AA366" s="50"/>
      <c r="AB366" s="50"/>
      <c r="AC366" s="50"/>
    </row>
    <row r="367">
      <c r="A367" s="48" t="s">
        <v>1703</v>
      </c>
      <c r="B367" s="49" t="s">
        <v>2914</v>
      </c>
      <c r="C367" s="48" t="s">
        <v>2915</v>
      </c>
      <c r="D367" s="50" t="str">
        <f>IFERROR(__xludf.DUMMYFUNCTION("""COMPUTED_VALUE"""),"Achacha")</f>
        <v>Achacha</v>
      </c>
      <c r="E367" s="50"/>
      <c r="F367" s="50" t="s">
        <v>2915</v>
      </c>
      <c r="G367" s="50" t="s">
        <v>2915</v>
      </c>
      <c r="H367" s="50" t="s">
        <v>1710</v>
      </c>
      <c r="I367" s="50" t="s">
        <v>2916</v>
      </c>
      <c r="J367" s="50"/>
      <c r="K367" s="50"/>
      <c r="L367" s="50"/>
      <c r="M367" s="50"/>
      <c r="N367" s="50"/>
      <c r="O367" s="50"/>
      <c r="P367" s="50"/>
      <c r="Q367" s="50"/>
      <c r="R367" s="50"/>
      <c r="S367" s="50"/>
      <c r="T367" s="50"/>
      <c r="U367" s="50"/>
      <c r="V367" s="50"/>
      <c r="W367" s="50"/>
      <c r="X367" s="50"/>
      <c r="Y367" s="50"/>
      <c r="Z367" s="50"/>
      <c r="AA367" s="50"/>
      <c r="AB367" s="50"/>
      <c r="AC367" s="50"/>
    </row>
    <row r="368">
      <c r="A368" s="48" t="s">
        <v>1703</v>
      </c>
      <c r="B368" s="49" t="s">
        <v>2917</v>
      </c>
      <c r="C368" s="48" t="s">
        <v>2918</v>
      </c>
      <c r="D368" s="50" t="str">
        <f>IFERROR(__xludf.DUMMYFUNCTION("""COMPUTED_VALUE"""),"Mangoustan")</f>
        <v>Mangoustan</v>
      </c>
      <c r="E368" s="50"/>
      <c r="F368" s="50" t="s">
        <v>2919</v>
      </c>
      <c r="G368" s="50" t="s">
        <v>2919</v>
      </c>
      <c r="H368" s="50" t="s">
        <v>1710</v>
      </c>
      <c r="I368" s="50" t="s">
        <v>2920</v>
      </c>
      <c r="J368" s="50"/>
      <c r="K368" s="50"/>
      <c r="L368" s="50"/>
      <c r="M368" s="50"/>
      <c r="N368" s="50"/>
      <c r="O368" s="50"/>
      <c r="P368" s="50"/>
      <c r="Q368" s="50"/>
      <c r="R368" s="50"/>
      <c r="S368" s="50"/>
      <c r="T368" s="50"/>
      <c r="U368" s="50"/>
      <c r="V368" s="50"/>
      <c r="W368" s="50"/>
      <c r="X368" s="50"/>
      <c r="Y368" s="50"/>
      <c r="Z368" s="50"/>
      <c r="AA368" s="50"/>
      <c r="AB368" s="50"/>
      <c r="AC368" s="50"/>
    </row>
    <row r="369">
      <c r="A369" s="48" t="s">
        <v>1703</v>
      </c>
      <c r="B369" s="49" t="s">
        <v>2921</v>
      </c>
      <c r="C369" s="48" t="s">
        <v>2922</v>
      </c>
      <c r="D369" s="50" t="str">
        <f>IFERROR(__xludf.DUMMYFUNCTION("""COMPUTED_VALUE"""),"Chrysanthème Comestible")</f>
        <v>Chrysanthème Comestible</v>
      </c>
      <c r="E369" s="50"/>
      <c r="F369" s="50" t="s">
        <v>2923</v>
      </c>
      <c r="G369" s="50" t="s">
        <v>2923</v>
      </c>
      <c r="H369" s="50" t="s">
        <v>1710</v>
      </c>
      <c r="I369" s="50" t="s">
        <v>2924</v>
      </c>
      <c r="J369" s="50"/>
      <c r="K369" s="50"/>
      <c r="L369" s="50"/>
      <c r="M369" s="50"/>
      <c r="N369" s="50"/>
      <c r="O369" s="50"/>
      <c r="P369" s="50"/>
      <c r="Q369" s="50"/>
      <c r="R369" s="50"/>
      <c r="S369" s="50"/>
      <c r="T369" s="50"/>
      <c r="U369" s="50"/>
      <c r="V369" s="50"/>
      <c r="W369" s="50"/>
      <c r="X369" s="50"/>
      <c r="Y369" s="50"/>
      <c r="Z369" s="50"/>
      <c r="AA369" s="50"/>
      <c r="AB369" s="50"/>
      <c r="AC369" s="50"/>
    </row>
    <row r="370">
      <c r="A370" s="48" t="s">
        <v>1703</v>
      </c>
      <c r="B370" s="49" t="s">
        <v>2925</v>
      </c>
      <c r="C370" s="48" t="s">
        <v>2926</v>
      </c>
      <c r="D370" s="50" t="str">
        <f>IFERROR(__xludf.DUMMYFUNCTION("""COMPUTED_VALUE"""),"Épinards D'Okinawa")</f>
        <v>Épinards D'Okinawa</v>
      </c>
      <c r="E370" s="50"/>
      <c r="F370" s="50" t="s">
        <v>2927</v>
      </c>
      <c r="G370" s="50" t="s">
        <v>2927</v>
      </c>
      <c r="H370" s="50" t="s">
        <v>1710</v>
      </c>
      <c r="I370" s="50" t="s">
        <v>2928</v>
      </c>
      <c r="J370" s="50"/>
      <c r="K370" s="50"/>
      <c r="L370" s="50"/>
      <c r="M370" s="50"/>
      <c r="N370" s="50"/>
      <c r="O370" s="50"/>
      <c r="P370" s="50"/>
      <c r="Q370" s="50"/>
      <c r="R370" s="50"/>
      <c r="S370" s="50"/>
      <c r="T370" s="50"/>
      <c r="U370" s="50"/>
      <c r="V370" s="50"/>
      <c r="W370" s="50"/>
      <c r="X370" s="50"/>
      <c r="Y370" s="50"/>
      <c r="Z370" s="50"/>
      <c r="AA370" s="50"/>
      <c r="AB370" s="50"/>
      <c r="AC370" s="50"/>
    </row>
    <row r="371">
      <c r="A371" s="48" t="s">
        <v>1703</v>
      </c>
      <c r="B371" s="49" t="s">
        <v>2929</v>
      </c>
      <c r="C371" s="48" t="s">
        <v>2930</v>
      </c>
      <c r="D371" s="50" t="str">
        <f>IFERROR(__xludf.DUMMYFUNCTION("""COMPUTED_VALUE"""),"Épinards De Longévité")</f>
        <v>Épinards De Longévité</v>
      </c>
      <c r="E371" s="50"/>
      <c r="F371" s="50" t="s">
        <v>2931</v>
      </c>
      <c r="G371" s="50" t="s">
        <v>2931</v>
      </c>
      <c r="H371" s="50" t="s">
        <v>1710</v>
      </c>
      <c r="I371" s="50" t="s">
        <v>2932</v>
      </c>
      <c r="J371" s="50"/>
      <c r="K371" s="50"/>
      <c r="L371" s="50"/>
      <c r="M371" s="50"/>
      <c r="N371" s="50"/>
      <c r="O371" s="50"/>
      <c r="P371" s="50"/>
      <c r="Q371" s="50"/>
      <c r="R371" s="50"/>
      <c r="S371" s="50"/>
      <c r="T371" s="50"/>
      <c r="U371" s="50"/>
      <c r="V371" s="50"/>
      <c r="W371" s="50"/>
      <c r="X371" s="50"/>
      <c r="Y371" s="50"/>
      <c r="Z371" s="50"/>
      <c r="AA371" s="50"/>
      <c r="AB371" s="50"/>
      <c r="AC371" s="50"/>
    </row>
    <row r="372">
      <c r="A372" s="48" t="s">
        <v>1703</v>
      </c>
      <c r="B372" s="49" t="s">
        <v>2933</v>
      </c>
      <c r="C372" s="48" t="s">
        <v>2934</v>
      </c>
      <c r="D372" s="50" t="str">
        <f>IFERROR(__xludf.DUMMYFUNCTION("""COMPUTED_VALUE"""),"Fruit Du Dragon")</f>
        <v>Fruit Du Dragon</v>
      </c>
      <c r="E372" s="50"/>
      <c r="F372" s="50" t="s">
        <v>2935</v>
      </c>
      <c r="G372" s="50" t="s">
        <v>2935</v>
      </c>
      <c r="H372" s="50" t="s">
        <v>1710</v>
      </c>
      <c r="I372" s="50" t="s">
        <v>2936</v>
      </c>
      <c r="J372" s="50"/>
      <c r="K372" s="50"/>
      <c r="L372" s="50"/>
      <c r="M372" s="50"/>
      <c r="N372" s="50"/>
      <c r="O372" s="50"/>
      <c r="P372" s="50"/>
      <c r="Q372" s="50"/>
      <c r="R372" s="50"/>
      <c r="S372" s="50"/>
      <c r="T372" s="50"/>
      <c r="U372" s="50"/>
      <c r="V372" s="50"/>
      <c r="W372" s="50"/>
      <c r="X372" s="50"/>
      <c r="Y372" s="50"/>
      <c r="Z372" s="50"/>
      <c r="AA372" s="50"/>
      <c r="AB372" s="50"/>
      <c r="AC372" s="50"/>
    </row>
    <row r="373">
      <c r="A373" s="48" t="s">
        <v>1703</v>
      </c>
      <c r="B373" s="49" t="s">
        <v>2937</v>
      </c>
      <c r="C373" s="48" t="s">
        <v>2938</v>
      </c>
      <c r="D373" s="50" t="str">
        <f>IFERROR(__xludf.DUMMYFUNCTION("""COMPUTED_VALUE"""),"Haricots Glacés")</f>
        <v>Haricots Glacés</v>
      </c>
      <c r="E373" s="50"/>
      <c r="F373" s="50" t="s">
        <v>2939</v>
      </c>
      <c r="G373" s="50" t="s">
        <v>2939</v>
      </c>
      <c r="H373" s="50" t="s">
        <v>1710</v>
      </c>
      <c r="I373" s="50" t="s">
        <v>2940</v>
      </c>
      <c r="J373" s="50"/>
      <c r="K373" s="50"/>
      <c r="L373" s="50"/>
      <c r="M373" s="50"/>
      <c r="N373" s="50"/>
      <c r="O373" s="50"/>
      <c r="P373" s="50"/>
      <c r="Q373" s="50"/>
      <c r="R373" s="50"/>
      <c r="S373" s="50"/>
      <c r="T373" s="50"/>
      <c r="U373" s="50"/>
      <c r="V373" s="50"/>
      <c r="W373" s="50"/>
      <c r="X373" s="50"/>
      <c r="Y373" s="50"/>
      <c r="Z373" s="50"/>
      <c r="AA373" s="50"/>
      <c r="AB373" s="50"/>
      <c r="AC373" s="50"/>
    </row>
    <row r="374">
      <c r="A374" s="48" t="s">
        <v>1703</v>
      </c>
      <c r="B374" s="49" t="s">
        <v>2941</v>
      </c>
      <c r="C374" s="48" t="s">
        <v>2942</v>
      </c>
      <c r="D374" s="50" t="str">
        <f>IFERROR(__xludf.DUMMYFUNCTION("""COMPUTED_VALUE"""),"Inga")</f>
        <v>Inga</v>
      </c>
      <c r="E374" s="50"/>
      <c r="F374" s="50" t="s">
        <v>2942</v>
      </c>
      <c r="G374" s="50" t="s">
        <v>2942</v>
      </c>
      <c r="H374" s="50" t="s">
        <v>1710</v>
      </c>
      <c r="I374" s="50" t="s">
        <v>2943</v>
      </c>
      <c r="J374" s="50"/>
      <c r="K374" s="50"/>
      <c r="L374" s="50"/>
      <c r="M374" s="50"/>
      <c r="N374" s="50"/>
      <c r="O374" s="50"/>
      <c r="P374" s="50"/>
      <c r="Q374" s="50"/>
      <c r="R374" s="50"/>
      <c r="S374" s="50"/>
      <c r="T374" s="50"/>
      <c r="U374" s="50"/>
      <c r="V374" s="50"/>
      <c r="W374" s="50"/>
      <c r="X374" s="50"/>
      <c r="Y374" s="50"/>
      <c r="Z374" s="50"/>
      <c r="AA374" s="50"/>
      <c r="AB374" s="50"/>
      <c r="AC374" s="50"/>
    </row>
    <row r="375">
      <c r="A375" s="48" t="s">
        <v>1703</v>
      </c>
      <c r="B375" s="49" t="s">
        <v>2944</v>
      </c>
      <c r="C375" s="48" t="s">
        <v>2945</v>
      </c>
      <c r="D375" s="50" t="str">
        <f>IFERROR(__xludf.DUMMYFUNCTION("""COMPUTED_VALUE"""),"Patate Douce")</f>
        <v>Patate Douce</v>
      </c>
      <c r="E375" s="50"/>
      <c r="F375" s="50" t="s">
        <v>2946</v>
      </c>
      <c r="G375" s="50" t="s">
        <v>2946</v>
      </c>
      <c r="H375" s="50" t="s">
        <v>1710</v>
      </c>
      <c r="I375" s="50" t="s">
        <v>2947</v>
      </c>
      <c r="J375" s="50"/>
      <c r="K375" s="50"/>
      <c r="L375" s="50"/>
      <c r="M375" s="50"/>
      <c r="N375" s="50"/>
      <c r="O375" s="50"/>
      <c r="P375" s="50"/>
      <c r="Q375" s="50"/>
      <c r="R375" s="50"/>
      <c r="S375" s="50"/>
      <c r="T375" s="50"/>
      <c r="U375" s="50"/>
      <c r="V375" s="50"/>
      <c r="W375" s="50"/>
      <c r="X375" s="50"/>
      <c r="Y375" s="50"/>
      <c r="Z375" s="50"/>
      <c r="AA375" s="50"/>
      <c r="AB375" s="50"/>
      <c r="AC375" s="50"/>
    </row>
    <row r="376">
      <c r="A376" s="48" t="s">
        <v>1703</v>
      </c>
      <c r="B376" s="49" t="s">
        <v>2948</v>
      </c>
      <c r="C376" s="48" t="s">
        <v>2949</v>
      </c>
      <c r="D376" s="50" t="str">
        <f>IFERROR(__xludf.DUMMYFUNCTION("""COMPUTED_VALUE"""),"Jatropha")</f>
        <v>Jatropha</v>
      </c>
      <c r="E376" s="50"/>
      <c r="F376" s="50" t="s">
        <v>2949</v>
      </c>
      <c r="G376" s="50" t="s">
        <v>2949</v>
      </c>
      <c r="H376" s="50" t="s">
        <v>1710</v>
      </c>
      <c r="I376" s="50" t="s">
        <v>2950</v>
      </c>
      <c r="J376" s="50"/>
      <c r="K376" s="50"/>
      <c r="L376" s="50"/>
      <c r="M376" s="50"/>
      <c r="N376" s="50"/>
      <c r="O376" s="50"/>
      <c r="P376" s="50"/>
      <c r="Q376" s="50"/>
      <c r="R376" s="50"/>
      <c r="S376" s="50"/>
      <c r="T376" s="50"/>
      <c r="U376" s="50"/>
      <c r="V376" s="50"/>
      <c r="W376" s="50"/>
      <c r="X376" s="50"/>
      <c r="Y376" s="50"/>
      <c r="Z376" s="50"/>
      <c r="AA376" s="50"/>
      <c r="AB376" s="50"/>
      <c r="AC376" s="50"/>
    </row>
    <row r="377">
      <c r="A377" s="48" t="s">
        <v>1703</v>
      </c>
      <c r="B377" s="49" t="s">
        <v>2951</v>
      </c>
      <c r="C377" s="48" t="s">
        <v>2952</v>
      </c>
      <c r="D377" s="50" t="str">
        <f>IFERROR(__xludf.DUMMYFUNCTION("""COMPUTED_VALUE"""),"Laitue Indienne")</f>
        <v>Laitue Indienne</v>
      </c>
      <c r="E377" s="50"/>
      <c r="F377" s="50" t="s">
        <v>2953</v>
      </c>
      <c r="G377" s="50" t="s">
        <v>2953</v>
      </c>
      <c r="H377" s="50" t="s">
        <v>1710</v>
      </c>
      <c r="I377" s="50" t="s">
        <v>2954</v>
      </c>
      <c r="J377" s="50"/>
      <c r="K377" s="50"/>
      <c r="L377" s="50"/>
      <c r="M377" s="50"/>
      <c r="N377" s="50"/>
      <c r="O377" s="50"/>
      <c r="P377" s="50"/>
      <c r="Q377" s="50"/>
      <c r="R377" s="50"/>
      <c r="S377" s="50"/>
      <c r="T377" s="50"/>
      <c r="U377" s="50"/>
      <c r="V377" s="50"/>
      <c r="W377" s="50"/>
      <c r="X377" s="50"/>
      <c r="Y377" s="50"/>
      <c r="Z377" s="50"/>
      <c r="AA377" s="50"/>
      <c r="AB377" s="50"/>
      <c r="AC377" s="50"/>
    </row>
    <row r="378">
      <c r="A378" s="48" t="s">
        <v>1703</v>
      </c>
      <c r="B378" s="49" t="s">
        <v>2955</v>
      </c>
      <c r="C378" s="48" t="s">
        <v>2956</v>
      </c>
      <c r="D378" s="50" t="str">
        <f>IFERROR(__xludf.DUMMYFUNCTION("""COMPUTED_VALUE"""),"Leucaena")</f>
        <v>Leucaena</v>
      </c>
      <c r="E378" s="50"/>
      <c r="F378" s="50" t="s">
        <v>2956</v>
      </c>
      <c r="G378" s="50" t="s">
        <v>2956</v>
      </c>
      <c r="H378" s="50" t="s">
        <v>1710</v>
      </c>
      <c r="I378" s="50" t="s">
        <v>2957</v>
      </c>
      <c r="J378" s="50"/>
      <c r="K378" s="50"/>
      <c r="L378" s="50"/>
      <c r="M378" s="50"/>
      <c r="N378" s="50"/>
      <c r="O378" s="50"/>
      <c r="P378" s="50"/>
      <c r="Q378" s="50"/>
      <c r="R378" s="50"/>
      <c r="S378" s="50"/>
      <c r="T378" s="50"/>
      <c r="U378" s="50"/>
      <c r="V378" s="50"/>
      <c r="W378" s="50"/>
      <c r="X378" s="50"/>
      <c r="Y378" s="50"/>
      <c r="Z378" s="50"/>
      <c r="AA378" s="50"/>
      <c r="AB378" s="50"/>
      <c r="AC378" s="50"/>
    </row>
    <row r="379">
      <c r="A379" s="48" t="s">
        <v>1703</v>
      </c>
      <c r="B379" s="49" t="s">
        <v>2958</v>
      </c>
      <c r="C379" s="48" t="s">
        <v>2959</v>
      </c>
      <c r="D379" s="50" t="str">
        <f>IFERROR(__xludf.DUMMYFUNCTION("""COMPUTED_VALUE"""),"Litchi")</f>
        <v>Litchi</v>
      </c>
      <c r="E379" s="50"/>
      <c r="F379" s="50" t="s">
        <v>2960</v>
      </c>
      <c r="G379" s="50" t="s">
        <v>2960</v>
      </c>
      <c r="H379" s="50" t="s">
        <v>1710</v>
      </c>
      <c r="I379" s="50" t="s">
        <v>2961</v>
      </c>
      <c r="J379" s="50"/>
      <c r="K379" s="50"/>
      <c r="L379" s="50"/>
      <c r="M379" s="50"/>
      <c r="N379" s="50"/>
      <c r="O379" s="50"/>
      <c r="P379" s="50"/>
      <c r="Q379" s="50"/>
      <c r="R379" s="50"/>
      <c r="S379" s="50"/>
      <c r="T379" s="50"/>
      <c r="U379" s="50"/>
      <c r="V379" s="50"/>
      <c r="W379" s="50"/>
      <c r="X379" s="50"/>
      <c r="Y379" s="50"/>
      <c r="Z379" s="50"/>
      <c r="AA379" s="50"/>
      <c r="AB379" s="50"/>
      <c r="AC379" s="50"/>
    </row>
    <row r="380">
      <c r="A380" s="48" t="s">
        <v>1703</v>
      </c>
      <c r="B380" s="49" t="s">
        <v>2962</v>
      </c>
      <c r="C380" s="48" t="s">
        <v>2963</v>
      </c>
      <c r="D380" s="50" t="str">
        <f>IFERROR(__xludf.DUMMYFUNCTION("""COMPUTED_VALUE"""),"Cerise De La Barbade")</f>
        <v>Cerise De La Barbade</v>
      </c>
      <c r="E380" s="50"/>
      <c r="F380" s="50" t="s">
        <v>2964</v>
      </c>
      <c r="G380" s="50" t="s">
        <v>2964</v>
      </c>
      <c r="H380" s="50" t="s">
        <v>1710</v>
      </c>
      <c r="I380" s="50" t="s">
        <v>2965</v>
      </c>
      <c r="J380" s="50"/>
      <c r="K380" s="50"/>
      <c r="L380" s="50"/>
      <c r="M380" s="50"/>
      <c r="N380" s="50"/>
      <c r="O380" s="50"/>
      <c r="P380" s="50"/>
      <c r="Q380" s="50"/>
      <c r="R380" s="50"/>
      <c r="S380" s="50"/>
      <c r="T380" s="50"/>
      <c r="U380" s="50"/>
      <c r="V380" s="50"/>
      <c r="W380" s="50"/>
      <c r="X380" s="50"/>
      <c r="Y380" s="50"/>
      <c r="Z380" s="50"/>
      <c r="AA380" s="50"/>
      <c r="AB380" s="50"/>
      <c r="AC380" s="50"/>
    </row>
    <row r="381">
      <c r="A381" s="48" t="s">
        <v>1703</v>
      </c>
      <c r="B381" s="49" t="s">
        <v>2966</v>
      </c>
      <c r="C381" s="48" t="s">
        <v>2967</v>
      </c>
      <c r="D381" s="50" t="str">
        <f>IFERROR(__xludf.DUMMYFUNCTION("""COMPUTED_VALUE"""),"Abricot Tropical/Pomme Mamey")</f>
        <v>Abricot Tropical/Pomme Mamey</v>
      </c>
      <c r="E381" s="50"/>
      <c r="F381" s="50" t="s">
        <v>2968</v>
      </c>
      <c r="G381" s="50" t="s">
        <v>2968</v>
      </c>
      <c r="H381" s="50" t="s">
        <v>1710</v>
      </c>
      <c r="I381" s="50" t="s">
        <v>2969</v>
      </c>
      <c r="J381" s="50"/>
      <c r="K381" s="50"/>
      <c r="L381" s="50"/>
      <c r="M381" s="50"/>
      <c r="N381" s="50"/>
      <c r="O381" s="50"/>
      <c r="P381" s="50"/>
      <c r="Q381" s="50"/>
      <c r="R381" s="50"/>
      <c r="S381" s="50"/>
      <c r="T381" s="50"/>
      <c r="U381" s="50"/>
      <c r="V381" s="50"/>
      <c r="W381" s="50"/>
      <c r="X381" s="50"/>
      <c r="Y381" s="50"/>
      <c r="Z381" s="50"/>
      <c r="AA381" s="50"/>
      <c r="AB381" s="50"/>
      <c r="AC381" s="50"/>
    </row>
    <row r="382">
      <c r="A382" s="48" t="s">
        <v>1703</v>
      </c>
      <c r="B382" s="49" t="s">
        <v>2970</v>
      </c>
      <c r="C382" s="48" t="s">
        <v>2971</v>
      </c>
      <c r="D382" s="50" t="str">
        <f>IFERROR(__xludf.DUMMYFUNCTION("""COMPUTED_VALUE"""),"Mangue")</f>
        <v>Mangue</v>
      </c>
      <c r="E382" s="50"/>
      <c r="F382" s="50" t="s">
        <v>2972</v>
      </c>
      <c r="G382" s="50" t="s">
        <v>2972</v>
      </c>
      <c r="H382" s="50" t="s">
        <v>1710</v>
      </c>
      <c r="I382" s="50" t="s">
        <v>2973</v>
      </c>
      <c r="J382" s="50"/>
      <c r="K382" s="50"/>
      <c r="L382" s="50"/>
      <c r="M382" s="50"/>
      <c r="N382" s="50"/>
      <c r="O382" s="50"/>
      <c r="P382" s="50"/>
      <c r="Q382" s="50"/>
      <c r="R382" s="50"/>
      <c r="S382" s="50"/>
      <c r="T382" s="50"/>
      <c r="U382" s="50"/>
      <c r="V382" s="50"/>
      <c r="W382" s="50"/>
      <c r="X382" s="50"/>
      <c r="Y382" s="50"/>
      <c r="Z382" s="50"/>
      <c r="AA382" s="50"/>
      <c r="AB382" s="50"/>
      <c r="AC382" s="50"/>
    </row>
    <row r="383">
      <c r="A383" s="48" t="s">
        <v>1703</v>
      </c>
      <c r="B383" s="49" t="s">
        <v>2974</v>
      </c>
      <c r="C383" s="48" t="s">
        <v>2975</v>
      </c>
      <c r="D383" s="50" t="str">
        <f>IFERROR(__xludf.DUMMYFUNCTION("""COMPUTED_VALUE"""),"Sapotille")</f>
        <v>Sapotille</v>
      </c>
      <c r="E383" s="50"/>
      <c r="F383" s="50" t="s">
        <v>2976</v>
      </c>
      <c r="G383" s="50" t="s">
        <v>2976</v>
      </c>
      <c r="H383" s="50" t="s">
        <v>1710</v>
      </c>
      <c r="I383" s="50" t="s">
        <v>2977</v>
      </c>
      <c r="J383" s="50"/>
      <c r="K383" s="50"/>
      <c r="L383" s="50"/>
      <c r="M383" s="50"/>
      <c r="N383" s="50"/>
      <c r="O383" s="50"/>
      <c r="P383" s="50"/>
      <c r="Q383" s="50"/>
      <c r="R383" s="50"/>
      <c r="S383" s="50"/>
      <c r="T383" s="50"/>
      <c r="U383" s="50"/>
      <c r="V383" s="50"/>
      <c r="W383" s="50"/>
      <c r="X383" s="50"/>
      <c r="Y383" s="50"/>
      <c r="Z383" s="50"/>
      <c r="AA383" s="50"/>
      <c r="AB383" s="50"/>
      <c r="AC383" s="50"/>
    </row>
    <row r="384">
      <c r="A384" s="48" t="s">
        <v>1703</v>
      </c>
      <c r="B384" s="49" t="s">
        <v>2978</v>
      </c>
      <c r="C384" s="48" t="s">
        <v>2979</v>
      </c>
      <c r="D384" s="50" t="str">
        <f>IFERROR(__xludf.DUMMYFUNCTION("""COMPUTED_VALUE"""),"Moringa")</f>
        <v>Moringa</v>
      </c>
      <c r="E384" s="50"/>
      <c r="F384" s="50" t="s">
        <v>2979</v>
      </c>
      <c r="G384" s="50" t="s">
        <v>2979</v>
      </c>
      <c r="H384" s="50" t="s">
        <v>1710</v>
      </c>
      <c r="I384" s="50" t="s">
        <v>2980</v>
      </c>
      <c r="J384" s="50"/>
      <c r="K384" s="50"/>
      <c r="L384" s="50"/>
      <c r="M384" s="50"/>
      <c r="N384" s="50"/>
      <c r="O384" s="50"/>
      <c r="P384" s="50"/>
      <c r="Q384" s="50"/>
      <c r="R384" s="50"/>
      <c r="S384" s="50"/>
      <c r="T384" s="50"/>
      <c r="U384" s="50"/>
      <c r="V384" s="50"/>
      <c r="W384" s="50"/>
      <c r="X384" s="50"/>
      <c r="Y384" s="50"/>
      <c r="Z384" s="50"/>
      <c r="AA384" s="50"/>
      <c r="AB384" s="50"/>
      <c r="AC384" s="50"/>
    </row>
    <row r="385">
      <c r="A385" s="48" t="s">
        <v>1703</v>
      </c>
      <c r="B385" s="49" t="s">
        <v>2981</v>
      </c>
      <c r="C385" s="48" t="s">
        <v>2982</v>
      </c>
      <c r="D385" s="50" t="str">
        <f>IFERROR(__xludf.DUMMYFUNCTION("""COMPUTED_VALUE"""),"Mûrier Blanc")</f>
        <v>Mûrier Blanc</v>
      </c>
      <c r="E385" s="50"/>
      <c r="F385" s="50" t="s">
        <v>2983</v>
      </c>
      <c r="G385" s="50" t="s">
        <v>2983</v>
      </c>
      <c r="H385" s="50" t="s">
        <v>1710</v>
      </c>
      <c r="I385" s="50" t="s">
        <v>2984</v>
      </c>
      <c r="J385" s="50"/>
      <c r="K385" s="50"/>
      <c r="L385" s="50"/>
      <c r="M385" s="50"/>
      <c r="N385" s="50"/>
      <c r="O385" s="50"/>
      <c r="P385" s="50"/>
      <c r="Q385" s="50"/>
      <c r="R385" s="50"/>
      <c r="S385" s="50"/>
      <c r="T385" s="50"/>
      <c r="U385" s="50"/>
      <c r="V385" s="50"/>
      <c r="W385" s="50"/>
      <c r="X385" s="50"/>
      <c r="Y385" s="50"/>
      <c r="Z385" s="50"/>
      <c r="AA385" s="50"/>
      <c r="AB385" s="50"/>
      <c r="AC385" s="50"/>
    </row>
    <row r="386">
      <c r="A386" s="48" t="s">
        <v>1703</v>
      </c>
      <c r="B386" s="49" t="s">
        <v>2985</v>
      </c>
      <c r="C386" s="48" t="s">
        <v>2986</v>
      </c>
      <c r="D386" s="50" t="str">
        <f>IFERROR(__xludf.DUMMYFUNCTION("""COMPUTED_VALUE"""),"Mûre")</f>
        <v>Mûre</v>
      </c>
      <c r="E386" s="50"/>
      <c r="F386" s="50" t="s">
        <v>2987</v>
      </c>
      <c r="G386" s="50" t="s">
        <v>2987</v>
      </c>
      <c r="H386" s="50" t="s">
        <v>1710</v>
      </c>
      <c r="I386" s="50" t="s">
        <v>2988</v>
      </c>
      <c r="J386" s="50"/>
      <c r="K386" s="50"/>
      <c r="L386" s="50"/>
      <c r="M386" s="50"/>
      <c r="N386" s="50"/>
      <c r="O386" s="50"/>
      <c r="P386" s="50"/>
      <c r="Q386" s="50"/>
      <c r="R386" s="50"/>
      <c r="S386" s="50"/>
      <c r="T386" s="50"/>
      <c r="U386" s="50"/>
      <c r="V386" s="50"/>
      <c r="W386" s="50"/>
      <c r="X386" s="50"/>
      <c r="Y386" s="50"/>
      <c r="Z386" s="50"/>
      <c r="AA386" s="50"/>
      <c r="AB386" s="50"/>
      <c r="AC386" s="50"/>
    </row>
    <row r="387">
      <c r="A387" s="48" t="s">
        <v>1703</v>
      </c>
      <c r="B387" s="49" t="s">
        <v>2989</v>
      </c>
      <c r="C387" s="48" t="s">
        <v>2990</v>
      </c>
      <c r="D387" s="50" t="str">
        <f>IFERROR(__xludf.DUMMYFUNCTION("""COMPUTED_VALUE"""),"Barbe À Papa Aux Baies")</f>
        <v>Barbe À Papa Aux Baies</v>
      </c>
      <c r="E387" s="50"/>
      <c r="F387" s="50" t="s">
        <v>2991</v>
      </c>
      <c r="G387" s="50" t="s">
        <v>2991</v>
      </c>
      <c r="H387" s="50" t="s">
        <v>1710</v>
      </c>
      <c r="I387" s="50" t="s">
        <v>2992</v>
      </c>
      <c r="J387" s="50"/>
      <c r="K387" s="50"/>
      <c r="L387" s="50"/>
      <c r="M387" s="50"/>
      <c r="N387" s="50"/>
      <c r="O387" s="50"/>
      <c r="P387" s="50"/>
      <c r="Q387" s="50"/>
      <c r="R387" s="50"/>
      <c r="S387" s="50"/>
      <c r="T387" s="50"/>
      <c r="U387" s="50"/>
      <c r="V387" s="50"/>
      <c r="W387" s="50"/>
      <c r="X387" s="50"/>
      <c r="Y387" s="50"/>
      <c r="Z387" s="50"/>
      <c r="AA387" s="50"/>
      <c r="AB387" s="50"/>
      <c r="AC387" s="50"/>
    </row>
    <row r="388">
      <c r="A388" s="48" t="s">
        <v>1703</v>
      </c>
      <c r="B388" s="49" t="s">
        <v>2993</v>
      </c>
      <c r="C388" s="48" t="s">
        <v>2994</v>
      </c>
      <c r="D388" s="50" t="str">
        <f>IFERROR(__xludf.DUMMYFUNCTION("""COMPUTED_VALUE"""),"Jaboticaba Jaune")</f>
        <v>Jaboticaba Jaune</v>
      </c>
      <c r="E388" s="50"/>
      <c r="F388" s="50" t="s">
        <v>2995</v>
      </c>
      <c r="G388" s="50" t="s">
        <v>2995</v>
      </c>
      <c r="H388" s="50" t="s">
        <v>1710</v>
      </c>
      <c r="I388" s="50" t="s">
        <v>2996</v>
      </c>
      <c r="J388" s="50"/>
      <c r="K388" s="50"/>
      <c r="L388" s="50"/>
      <c r="M388" s="50"/>
      <c r="N388" s="50"/>
      <c r="O388" s="50"/>
      <c r="P388" s="50"/>
      <c r="Q388" s="50"/>
      <c r="R388" s="50"/>
      <c r="S388" s="50"/>
      <c r="T388" s="50"/>
      <c r="U388" s="50"/>
      <c r="V388" s="50"/>
      <c r="W388" s="50"/>
      <c r="X388" s="50"/>
      <c r="Y388" s="50"/>
      <c r="Z388" s="50"/>
      <c r="AA388" s="50"/>
      <c r="AB388" s="50"/>
      <c r="AC388" s="50"/>
    </row>
    <row r="389">
      <c r="A389" s="48" t="s">
        <v>1703</v>
      </c>
      <c r="B389" s="49" t="s">
        <v>2997</v>
      </c>
      <c r="C389" s="48" t="s">
        <v>2998</v>
      </c>
      <c r="D389" s="50" t="str">
        <f>IFERROR(__xludf.DUMMYFUNCTION("""COMPUTED_VALUE"""),"Arbre À Raisin Bleu")</f>
        <v>Arbre À Raisin Bleu</v>
      </c>
      <c r="E389" s="50"/>
      <c r="F389" s="50" t="s">
        <v>2999</v>
      </c>
      <c r="G389" s="50" t="s">
        <v>2999</v>
      </c>
      <c r="H389" s="50" t="s">
        <v>1710</v>
      </c>
      <c r="I389" s="50" t="s">
        <v>3000</v>
      </c>
      <c r="J389" s="50"/>
      <c r="K389" s="50"/>
      <c r="L389" s="50"/>
      <c r="M389" s="50"/>
      <c r="N389" s="50"/>
      <c r="O389" s="50"/>
      <c r="P389" s="50"/>
      <c r="Q389" s="50"/>
      <c r="R389" s="50"/>
      <c r="S389" s="50"/>
      <c r="T389" s="50"/>
      <c r="U389" s="50"/>
      <c r="V389" s="50"/>
      <c r="W389" s="50"/>
      <c r="X389" s="50"/>
      <c r="Y389" s="50"/>
      <c r="Z389" s="50"/>
      <c r="AA389" s="50"/>
      <c r="AB389" s="50"/>
      <c r="AC389" s="50"/>
    </row>
    <row r="390">
      <c r="A390" s="48" t="s">
        <v>1703</v>
      </c>
      <c r="B390" s="49" t="s">
        <v>3001</v>
      </c>
      <c r="C390" s="48" t="s">
        <v>3002</v>
      </c>
      <c r="D390" s="50" t="str">
        <f>IFERROR(__xludf.DUMMYFUNCTION("""COMPUTED_VALUE"""),"Ramboutan")</f>
        <v>Ramboutan</v>
      </c>
      <c r="E390" s="50"/>
      <c r="F390" s="50" t="s">
        <v>3003</v>
      </c>
      <c r="G390" s="50" t="s">
        <v>3003</v>
      </c>
      <c r="H390" s="50" t="s">
        <v>1710</v>
      </c>
      <c r="I390" s="50" t="s">
        <v>3004</v>
      </c>
      <c r="J390" s="50"/>
      <c r="K390" s="50"/>
      <c r="L390" s="50"/>
      <c r="M390" s="50"/>
      <c r="N390" s="50"/>
      <c r="O390" s="50"/>
      <c r="P390" s="50"/>
      <c r="Q390" s="50"/>
      <c r="R390" s="50"/>
      <c r="S390" s="50"/>
      <c r="T390" s="50"/>
      <c r="U390" s="50"/>
      <c r="V390" s="50"/>
      <c r="W390" s="50"/>
      <c r="X390" s="50"/>
      <c r="Y390" s="50"/>
      <c r="Z390" s="50"/>
      <c r="AA390" s="50"/>
      <c r="AB390" s="50"/>
      <c r="AC390" s="50"/>
    </row>
    <row r="391">
      <c r="A391" s="48" t="s">
        <v>1703</v>
      </c>
      <c r="B391" s="49" t="s">
        <v>3005</v>
      </c>
      <c r="C391" s="48" t="s">
        <v>3006</v>
      </c>
      <c r="D391" s="50" t="str">
        <f>IFERROR(__xludf.DUMMYFUNCTION("""COMPUTED_VALUE"""),"Pulasan")</f>
        <v>Pulasan</v>
      </c>
      <c r="E391" s="50"/>
      <c r="F391" s="50" t="s">
        <v>3006</v>
      </c>
      <c r="G391" s="50" t="s">
        <v>3006</v>
      </c>
      <c r="H391" s="50" t="s">
        <v>1710</v>
      </c>
      <c r="I391" s="50" t="s">
        <v>3007</v>
      </c>
      <c r="J391" s="50"/>
      <c r="K391" s="50"/>
      <c r="L391" s="50"/>
      <c r="M391" s="50"/>
      <c r="N391" s="50"/>
      <c r="O391" s="50"/>
      <c r="P391" s="50"/>
      <c r="Q391" s="50"/>
      <c r="R391" s="50"/>
      <c r="S391" s="50"/>
      <c r="T391" s="50"/>
      <c r="U391" s="50"/>
      <c r="V391" s="50"/>
      <c r="W391" s="50"/>
      <c r="X391" s="50"/>
      <c r="Y391" s="50"/>
      <c r="Z391" s="50"/>
      <c r="AA391" s="50"/>
      <c r="AB391" s="50"/>
      <c r="AC391" s="50"/>
    </row>
    <row r="392">
      <c r="A392" s="48" t="s">
        <v>1703</v>
      </c>
      <c r="B392" s="49" t="s">
        <v>3008</v>
      </c>
      <c r="C392" s="48" t="s">
        <v>3009</v>
      </c>
      <c r="D392" s="50" t="str">
        <f>IFERROR(__xludf.DUMMYFUNCTION("""COMPUTED_VALUE"""),"Néphélium")</f>
        <v>Néphélium</v>
      </c>
      <c r="E392" s="50"/>
      <c r="F392" s="50" t="s">
        <v>3010</v>
      </c>
      <c r="G392" s="50" t="s">
        <v>3010</v>
      </c>
      <c r="H392" s="50" t="s">
        <v>1710</v>
      </c>
      <c r="I392" s="50" t="s">
        <v>3011</v>
      </c>
      <c r="J392" s="50"/>
      <c r="K392" s="50"/>
      <c r="L392" s="50"/>
      <c r="M392" s="50"/>
      <c r="N392" s="50"/>
      <c r="O392" s="50"/>
      <c r="P392" s="50"/>
      <c r="Q392" s="50"/>
      <c r="R392" s="50"/>
      <c r="S392" s="50"/>
      <c r="T392" s="50"/>
      <c r="U392" s="50"/>
      <c r="V392" s="50"/>
      <c r="W392" s="50"/>
      <c r="X392" s="50"/>
      <c r="Y392" s="50"/>
      <c r="Z392" s="50"/>
      <c r="AA392" s="50"/>
      <c r="AB392" s="50"/>
      <c r="AC392" s="50"/>
    </row>
    <row r="393">
      <c r="A393" s="48" t="s">
        <v>1703</v>
      </c>
      <c r="B393" s="49" t="s">
        <v>3012</v>
      </c>
      <c r="C393" s="48" t="s">
        <v>3013</v>
      </c>
      <c r="D393" s="50" t="str">
        <f>IFERROR(__xludf.DUMMYFUNCTION("""COMPUTED_VALUE"""),"Figue De Barbarie")</f>
        <v>Figue De Barbarie</v>
      </c>
      <c r="E393" s="50"/>
      <c r="F393" s="50" t="s">
        <v>3014</v>
      </c>
      <c r="G393" s="50" t="s">
        <v>3014</v>
      </c>
      <c r="H393" s="50" t="s">
        <v>1710</v>
      </c>
      <c r="I393" s="50" t="s">
        <v>3015</v>
      </c>
      <c r="J393" s="50"/>
      <c r="K393" s="50"/>
      <c r="L393" s="50"/>
      <c r="M393" s="50"/>
      <c r="N393" s="50"/>
      <c r="O393" s="50"/>
      <c r="P393" s="50"/>
      <c r="Q393" s="50"/>
      <c r="R393" s="50"/>
      <c r="S393" s="50"/>
      <c r="T393" s="50"/>
      <c r="U393" s="50"/>
      <c r="V393" s="50"/>
      <c r="W393" s="50"/>
      <c r="X393" s="50"/>
      <c r="Y393" s="50"/>
      <c r="Z393" s="50"/>
      <c r="AA393" s="50"/>
      <c r="AB393" s="50"/>
      <c r="AC393" s="50"/>
    </row>
    <row r="394">
      <c r="A394" s="48" t="s">
        <v>1703</v>
      </c>
      <c r="B394" s="49" t="s">
        <v>3016</v>
      </c>
      <c r="C394" s="48" t="s">
        <v>3017</v>
      </c>
      <c r="D394" s="50" t="str">
        <f>IFERROR(__xludf.DUMMYFUNCTION("""COMPUTED_VALUE"""),"Arbre À Argent")</f>
        <v>Arbre À Argent</v>
      </c>
      <c r="E394" s="50"/>
      <c r="F394" s="50" t="s">
        <v>3018</v>
      </c>
      <c r="G394" s="50" t="s">
        <v>3018</v>
      </c>
      <c r="H394" s="50" t="s">
        <v>1710</v>
      </c>
      <c r="I394" s="50" t="s">
        <v>3019</v>
      </c>
      <c r="J394" s="50"/>
      <c r="K394" s="50"/>
      <c r="L394" s="50"/>
      <c r="M394" s="50"/>
      <c r="N394" s="50"/>
      <c r="O394" s="50"/>
      <c r="P394" s="50"/>
      <c r="Q394" s="50"/>
      <c r="R394" s="50"/>
      <c r="S394" s="50"/>
      <c r="T394" s="50"/>
      <c r="U394" s="50"/>
      <c r="V394" s="50"/>
      <c r="W394" s="50"/>
      <c r="X394" s="50"/>
      <c r="Y394" s="50"/>
      <c r="Z394" s="50"/>
      <c r="AA394" s="50"/>
      <c r="AB394" s="50"/>
      <c r="AC394" s="50"/>
    </row>
    <row r="395">
      <c r="A395" s="48" t="s">
        <v>1703</v>
      </c>
      <c r="B395" s="49" t="s">
        <v>3020</v>
      </c>
      <c r="C395" s="48" t="s">
        <v>3021</v>
      </c>
      <c r="D395" s="50" t="str">
        <f>IFERROR(__xludf.DUMMYFUNCTION("""COMPUTED_VALUE"""),"Caroube Africain")</f>
        <v>Caroube Africain</v>
      </c>
      <c r="E395" s="50"/>
      <c r="F395" s="50" t="s">
        <v>3022</v>
      </c>
      <c r="G395" s="50" t="s">
        <v>3022</v>
      </c>
      <c r="H395" s="50" t="s">
        <v>1710</v>
      </c>
      <c r="I395" s="50" t="s">
        <v>3023</v>
      </c>
      <c r="J395" s="50"/>
      <c r="K395" s="50"/>
      <c r="L395" s="50"/>
      <c r="M395" s="50"/>
      <c r="N395" s="50"/>
      <c r="O395" s="50"/>
      <c r="P395" s="50"/>
      <c r="Q395" s="50"/>
      <c r="R395" s="50"/>
      <c r="S395" s="50"/>
      <c r="T395" s="50"/>
      <c r="U395" s="50"/>
      <c r="V395" s="50"/>
      <c r="W395" s="50"/>
      <c r="X395" s="50"/>
      <c r="Y395" s="50"/>
      <c r="Z395" s="50"/>
      <c r="AA395" s="50"/>
      <c r="AB395" s="50"/>
      <c r="AC395" s="50"/>
    </row>
    <row r="396">
      <c r="A396" s="48" t="s">
        <v>1703</v>
      </c>
      <c r="B396" s="49" t="s">
        <v>3024</v>
      </c>
      <c r="C396" s="48" t="s">
        <v>3025</v>
      </c>
      <c r="D396" s="50" t="str">
        <f>IFERROR(__xludf.DUMMYFUNCTION("""COMPUTED_VALUE"""),"Fruit De La Passion")</f>
        <v>Fruit De La Passion</v>
      </c>
      <c r="E396" s="50"/>
      <c r="F396" s="50" t="s">
        <v>3026</v>
      </c>
      <c r="G396" s="50" t="s">
        <v>3026</v>
      </c>
      <c r="H396" s="50" t="s">
        <v>1710</v>
      </c>
      <c r="I396" s="50" t="s">
        <v>3027</v>
      </c>
      <c r="J396" s="50"/>
      <c r="K396" s="50"/>
      <c r="L396" s="50"/>
      <c r="M396" s="50"/>
      <c r="N396" s="50"/>
      <c r="O396" s="50"/>
      <c r="P396" s="50"/>
      <c r="Q396" s="50"/>
      <c r="R396" s="50"/>
      <c r="S396" s="50"/>
      <c r="T396" s="50"/>
      <c r="U396" s="50"/>
      <c r="V396" s="50"/>
      <c r="W396" s="50"/>
      <c r="X396" s="50"/>
      <c r="Y396" s="50"/>
      <c r="Z396" s="50"/>
      <c r="AA396" s="50"/>
      <c r="AB396" s="50"/>
      <c r="AC396" s="50"/>
    </row>
    <row r="397">
      <c r="A397" s="48" t="s">
        <v>1703</v>
      </c>
      <c r="B397" s="49" t="s">
        <v>3028</v>
      </c>
      <c r="C397" s="48" t="s">
        <v>3029</v>
      </c>
      <c r="D397" s="50" t="str">
        <f>IFERROR(__xludf.DUMMYFUNCTION("""COMPUTED_VALUE"""),"Grenadille Douce")</f>
        <v>Grenadille Douce</v>
      </c>
      <c r="E397" s="50"/>
      <c r="F397" s="50" t="s">
        <v>3030</v>
      </c>
      <c r="G397" s="50" t="s">
        <v>3030</v>
      </c>
      <c r="H397" s="50" t="s">
        <v>1710</v>
      </c>
      <c r="I397" s="50" t="s">
        <v>3031</v>
      </c>
      <c r="J397" s="50"/>
      <c r="K397" s="50"/>
      <c r="L397" s="50"/>
      <c r="M397" s="50"/>
      <c r="N397" s="50"/>
      <c r="O397" s="50"/>
      <c r="P397" s="50"/>
      <c r="Q397" s="50"/>
      <c r="R397" s="50"/>
      <c r="S397" s="50"/>
      <c r="T397" s="50"/>
      <c r="U397" s="50"/>
      <c r="V397" s="50"/>
      <c r="W397" s="50"/>
      <c r="X397" s="50"/>
      <c r="Y397" s="50"/>
      <c r="Z397" s="50"/>
      <c r="AA397" s="50"/>
      <c r="AB397" s="50"/>
      <c r="AC397" s="50"/>
    </row>
    <row r="398">
      <c r="A398" s="48" t="s">
        <v>1703</v>
      </c>
      <c r="B398" s="49" t="s">
        <v>3032</v>
      </c>
      <c r="C398" s="48" t="s">
        <v>3033</v>
      </c>
      <c r="D398" s="50" t="str">
        <f>IFERROR(__xludf.DUMMYFUNCTION("""COMPUTED_VALUE"""),"Grenadille Géante")</f>
        <v>Grenadille Géante</v>
      </c>
      <c r="E398" s="50"/>
      <c r="F398" s="50" t="s">
        <v>3034</v>
      </c>
      <c r="G398" s="50" t="s">
        <v>3034</v>
      </c>
      <c r="H398" s="50" t="s">
        <v>1710</v>
      </c>
      <c r="I398" s="50" t="s">
        <v>3035</v>
      </c>
      <c r="J398" s="50"/>
      <c r="K398" s="50"/>
      <c r="L398" s="50"/>
      <c r="M398" s="50"/>
      <c r="N398" s="50"/>
      <c r="O398" s="50"/>
      <c r="P398" s="50"/>
      <c r="Q398" s="50"/>
      <c r="R398" s="50"/>
      <c r="S398" s="50"/>
      <c r="T398" s="50"/>
      <c r="U398" s="50"/>
      <c r="V398" s="50"/>
      <c r="W398" s="50"/>
      <c r="X398" s="50"/>
      <c r="Y398" s="50"/>
      <c r="Z398" s="50"/>
      <c r="AA398" s="50"/>
      <c r="AB398" s="50"/>
      <c r="AC398" s="50"/>
    </row>
    <row r="399">
      <c r="A399" s="48" t="s">
        <v>1703</v>
      </c>
      <c r="B399" s="49" t="s">
        <v>3036</v>
      </c>
      <c r="C399" s="48" t="s">
        <v>3037</v>
      </c>
      <c r="D399" s="50" t="str">
        <f>IFERROR(__xludf.DUMMYFUNCTION("""COMPUTED_VALUE"""),"Passiflore")</f>
        <v>Passiflore</v>
      </c>
      <c r="E399" s="50"/>
      <c r="F399" s="50" t="s">
        <v>3038</v>
      </c>
      <c r="G399" s="50" t="s">
        <v>3038</v>
      </c>
      <c r="H399" s="50" t="s">
        <v>1710</v>
      </c>
      <c r="I399" s="50" t="s">
        <v>3039</v>
      </c>
      <c r="J399" s="50"/>
      <c r="K399" s="50"/>
      <c r="L399" s="50"/>
      <c r="M399" s="50"/>
      <c r="N399" s="50"/>
      <c r="O399" s="50"/>
      <c r="P399" s="50"/>
      <c r="Q399" s="50"/>
      <c r="R399" s="50"/>
      <c r="S399" s="50"/>
      <c r="T399" s="50"/>
      <c r="U399" s="50"/>
      <c r="V399" s="50"/>
      <c r="W399" s="50"/>
      <c r="X399" s="50"/>
      <c r="Y399" s="50"/>
      <c r="Z399" s="50"/>
      <c r="AA399" s="50"/>
      <c r="AB399" s="50"/>
      <c r="AC399" s="50"/>
    </row>
    <row r="400">
      <c r="A400" s="48" t="s">
        <v>1703</v>
      </c>
      <c r="B400" s="49" t="s">
        <v>1191</v>
      </c>
      <c r="C400" s="48" t="s">
        <v>3040</v>
      </c>
      <c r="D400" s="50" t="str">
        <f>IFERROR(__xludf.DUMMYFUNCTION("""COMPUTED_VALUE"""),"Avocat")</f>
        <v>Avocat</v>
      </c>
      <c r="E400" s="50"/>
      <c r="F400" s="50" t="s">
        <v>3041</v>
      </c>
      <c r="G400" s="50" t="s">
        <v>3041</v>
      </c>
      <c r="H400" s="50" t="s">
        <v>1710</v>
      </c>
      <c r="I400" s="50" t="s">
        <v>3042</v>
      </c>
      <c r="J400" s="50"/>
      <c r="K400" s="50"/>
      <c r="L400" s="50"/>
      <c r="M400" s="50"/>
      <c r="N400" s="50"/>
      <c r="O400" s="50"/>
      <c r="P400" s="50"/>
      <c r="Q400" s="50"/>
      <c r="R400" s="50"/>
      <c r="S400" s="50"/>
      <c r="T400" s="50"/>
      <c r="U400" s="50"/>
      <c r="V400" s="50"/>
      <c r="W400" s="50"/>
      <c r="X400" s="50"/>
      <c r="Y400" s="50"/>
      <c r="Z400" s="50"/>
      <c r="AA400" s="50"/>
      <c r="AB400" s="50"/>
      <c r="AC400" s="50"/>
    </row>
    <row r="401">
      <c r="A401" s="48" t="s">
        <v>1703</v>
      </c>
      <c r="B401" s="49" t="s">
        <v>3043</v>
      </c>
      <c r="C401" s="48" t="s">
        <v>3044</v>
      </c>
      <c r="D401" s="50" t="str">
        <f>IFERROR(__xludf.DUMMYFUNCTION("""COMPUTED_VALUE"""),"Haricot À Rames")</f>
        <v>Haricot À Rames</v>
      </c>
      <c r="E401" s="50"/>
      <c r="F401" s="50" t="s">
        <v>3045</v>
      </c>
      <c r="G401" s="50" t="s">
        <v>3045</v>
      </c>
      <c r="H401" s="50" t="s">
        <v>1710</v>
      </c>
      <c r="I401" s="50" t="s">
        <v>3046</v>
      </c>
      <c r="J401" s="50"/>
      <c r="K401" s="50"/>
      <c r="L401" s="50"/>
      <c r="M401" s="50"/>
      <c r="N401" s="50"/>
      <c r="O401" s="50"/>
      <c r="P401" s="50"/>
      <c r="Q401" s="50"/>
      <c r="R401" s="50"/>
      <c r="S401" s="50"/>
      <c r="T401" s="50"/>
      <c r="U401" s="50"/>
      <c r="V401" s="50"/>
      <c r="W401" s="50"/>
      <c r="X401" s="50"/>
      <c r="Y401" s="50"/>
      <c r="Z401" s="50"/>
      <c r="AA401" s="50"/>
      <c r="AB401" s="50"/>
      <c r="AC401" s="50"/>
    </row>
    <row r="402">
      <c r="A402" s="48" t="s">
        <v>1703</v>
      </c>
      <c r="B402" s="49" t="s">
        <v>3047</v>
      </c>
      <c r="C402" s="48" t="s">
        <v>3048</v>
      </c>
      <c r="D402" s="50" t="str">
        <f>IFERROR(__xludf.DUMMYFUNCTION("""COMPUTED_VALUE"""),"Haricot De Lima")</f>
        <v>Haricot De Lima</v>
      </c>
      <c r="E402" s="50"/>
      <c r="F402" s="50" t="s">
        <v>3049</v>
      </c>
      <c r="G402" s="50" t="s">
        <v>3049</v>
      </c>
      <c r="H402" s="50" t="s">
        <v>1710</v>
      </c>
      <c r="I402" s="50" t="s">
        <v>3050</v>
      </c>
      <c r="J402" s="50"/>
      <c r="K402" s="50"/>
      <c r="L402" s="50"/>
      <c r="M402" s="50"/>
      <c r="N402" s="50"/>
      <c r="O402" s="50"/>
      <c r="P402" s="50"/>
      <c r="Q402" s="50"/>
      <c r="R402" s="50"/>
      <c r="S402" s="50"/>
      <c r="T402" s="50"/>
      <c r="U402" s="50"/>
      <c r="V402" s="50"/>
      <c r="W402" s="50"/>
      <c r="X402" s="50"/>
      <c r="Y402" s="50"/>
      <c r="Z402" s="50"/>
      <c r="AA402" s="50"/>
      <c r="AB402" s="50"/>
      <c r="AC402" s="50"/>
    </row>
    <row r="403">
      <c r="A403" s="48" t="s">
        <v>1703</v>
      </c>
      <c r="B403" s="49" t="s">
        <v>3051</v>
      </c>
      <c r="C403" s="48" t="s">
        <v>3052</v>
      </c>
      <c r="D403" s="50" t="str">
        <f>IFERROR(__xludf.DUMMYFUNCTION("""COMPUTED_VALUE"""),"Haricot")</f>
        <v>Haricot</v>
      </c>
      <c r="E403" s="50"/>
      <c r="F403" s="50" t="s">
        <v>3053</v>
      </c>
      <c r="G403" s="50" t="s">
        <v>3053</v>
      </c>
      <c r="H403" s="50" t="s">
        <v>1710</v>
      </c>
      <c r="I403" s="50" t="s">
        <v>3054</v>
      </c>
      <c r="J403" s="50"/>
      <c r="K403" s="50"/>
      <c r="L403" s="50"/>
      <c r="M403" s="50"/>
      <c r="N403" s="50"/>
      <c r="O403" s="50"/>
      <c r="P403" s="50"/>
      <c r="Q403" s="50"/>
      <c r="R403" s="50"/>
      <c r="S403" s="50"/>
      <c r="T403" s="50"/>
      <c r="U403" s="50"/>
      <c r="V403" s="50"/>
      <c r="W403" s="50"/>
      <c r="X403" s="50"/>
      <c r="Y403" s="50"/>
      <c r="Z403" s="50"/>
      <c r="AA403" s="50"/>
      <c r="AB403" s="50"/>
      <c r="AC403" s="50"/>
    </row>
    <row r="404">
      <c r="A404" s="48" t="s">
        <v>1703</v>
      </c>
      <c r="B404" s="49" t="s">
        <v>3055</v>
      </c>
      <c r="C404" s="48" t="s">
        <v>3056</v>
      </c>
      <c r="D404" s="50" t="str">
        <f>IFERROR(__xludf.DUMMYFUNCTION("""COMPUTED_VALUE"""),"Arbre À Pied De Chameau")</f>
        <v>Arbre À Pied De Chameau</v>
      </c>
      <c r="E404" s="50"/>
      <c r="F404" s="50" t="s">
        <v>3057</v>
      </c>
      <c r="G404" s="50" t="s">
        <v>3057</v>
      </c>
      <c r="H404" s="50" t="s">
        <v>1710</v>
      </c>
      <c r="I404" s="50" t="s">
        <v>3058</v>
      </c>
      <c r="J404" s="50"/>
      <c r="K404" s="50"/>
      <c r="L404" s="50"/>
      <c r="M404" s="50"/>
      <c r="N404" s="50"/>
      <c r="O404" s="50"/>
      <c r="P404" s="50"/>
      <c r="Q404" s="50"/>
      <c r="R404" s="50"/>
      <c r="S404" s="50"/>
      <c r="T404" s="50"/>
      <c r="U404" s="50"/>
      <c r="V404" s="50"/>
      <c r="W404" s="50"/>
      <c r="X404" s="50"/>
      <c r="Y404" s="50"/>
      <c r="Z404" s="50"/>
      <c r="AA404" s="50"/>
      <c r="AB404" s="50"/>
      <c r="AC404" s="50"/>
    </row>
    <row r="405">
      <c r="A405" s="48" t="s">
        <v>1703</v>
      </c>
      <c r="B405" s="49" t="s">
        <v>3059</v>
      </c>
      <c r="C405" s="48" t="s">
        <v>3060</v>
      </c>
      <c r="D405" s="50" t="str">
        <f>IFERROR(__xludf.DUMMYFUNCTION("""COMPUTED_VALUE"""),"Poivre Noir")</f>
        <v>Poivre Noir</v>
      </c>
      <c r="E405" s="50"/>
      <c r="F405" s="50" t="s">
        <v>3061</v>
      </c>
      <c r="G405" s="50" t="s">
        <v>3061</v>
      </c>
      <c r="H405" s="50" t="s">
        <v>1710</v>
      </c>
      <c r="I405" s="50" t="s">
        <v>3062</v>
      </c>
      <c r="J405" s="50"/>
      <c r="K405" s="50"/>
      <c r="L405" s="50"/>
      <c r="M405" s="50"/>
      <c r="N405" s="50"/>
      <c r="O405" s="50"/>
      <c r="P405" s="50"/>
      <c r="Q405" s="50"/>
      <c r="R405" s="50"/>
      <c r="S405" s="50"/>
      <c r="T405" s="50"/>
      <c r="U405" s="50"/>
      <c r="V405" s="50"/>
      <c r="W405" s="50"/>
      <c r="X405" s="50"/>
      <c r="Y405" s="50"/>
      <c r="Z405" s="50"/>
      <c r="AA405" s="50"/>
      <c r="AB405" s="50"/>
      <c r="AC405" s="50"/>
    </row>
    <row r="406">
      <c r="A406" s="48" t="s">
        <v>1703</v>
      </c>
      <c r="B406" s="49" t="s">
        <v>3063</v>
      </c>
      <c r="C406" s="48" t="s">
        <v>3064</v>
      </c>
      <c r="D406" s="50" t="str">
        <f>IFERROR(__xludf.DUMMYFUNCTION("""COMPUTED_VALUE"""),"Pois Mange-Tout")</f>
        <v>Pois Mange-Tout</v>
      </c>
      <c r="E406" s="50"/>
      <c r="F406" s="50" t="s">
        <v>3065</v>
      </c>
      <c r="G406" s="50" t="s">
        <v>3065</v>
      </c>
      <c r="H406" s="50" t="s">
        <v>1710</v>
      </c>
      <c r="I406" s="50" t="s">
        <v>3066</v>
      </c>
      <c r="J406" s="50"/>
      <c r="K406" s="50"/>
      <c r="L406" s="50"/>
      <c r="M406" s="50"/>
      <c r="N406" s="50"/>
      <c r="O406" s="50"/>
      <c r="P406" s="50"/>
      <c r="Q406" s="50"/>
      <c r="R406" s="50"/>
      <c r="S406" s="50"/>
      <c r="T406" s="50"/>
      <c r="U406" s="50"/>
      <c r="V406" s="50"/>
      <c r="W406" s="50"/>
      <c r="X406" s="50"/>
      <c r="Y406" s="50"/>
      <c r="Z406" s="50"/>
      <c r="AA406" s="50"/>
      <c r="AB406" s="50"/>
      <c r="AC406" s="50"/>
    </row>
    <row r="407">
      <c r="A407" s="48" t="s">
        <v>1703</v>
      </c>
      <c r="B407" s="49" t="s">
        <v>3067</v>
      </c>
      <c r="C407" s="48" t="s">
        <v>3068</v>
      </c>
      <c r="D407" s="50" t="str">
        <f>IFERROR(__xludf.DUMMYFUNCTION("""COMPUTED_VALUE"""),"Jaboticaba")</f>
        <v>Jaboticaba</v>
      </c>
      <c r="E407" s="50"/>
      <c r="F407" s="50" t="s">
        <v>3068</v>
      </c>
      <c r="G407" s="50" t="s">
        <v>3068</v>
      </c>
      <c r="H407" s="50" t="s">
        <v>1710</v>
      </c>
      <c r="I407" s="50" t="s">
        <v>3069</v>
      </c>
      <c r="J407" s="50"/>
      <c r="K407" s="50"/>
      <c r="L407" s="50"/>
      <c r="M407" s="50"/>
      <c r="N407" s="50"/>
      <c r="O407" s="50"/>
      <c r="P407" s="50"/>
      <c r="Q407" s="50"/>
      <c r="R407" s="50"/>
      <c r="S407" s="50"/>
      <c r="T407" s="50"/>
      <c r="U407" s="50"/>
      <c r="V407" s="50"/>
      <c r="W407" s="50"/>
      <c r="X407" s="50"/>
      <c r="Y407" s="50"/>
      <c r="Z407" s="50"/>
      <c r="AA407" s="50"/>
      <c r="AB407" s="50"/>
      <c r="AC407" s="50"/>
    </row>
    <row r="408">
      <c r="A408" s="48" t="s">
        <v>1703</v>
      </c>
      <c r="B408" s="49" t="s">
        <v>3070</v>
      </c>
      <c r="C408" s="48" t="s">
        <v>3071</v>
      </c>
      <c r="D408" s="50" t="str">
        <f>IFERROR(__xludf.DUMMYFUNCTION("""COMPUTED_VALUE"""),"Cambucá")</f>
        <v>Cambucá</v>
      </c>
      <c r="E408" s="50"/>
      <c r="F408" s="50" t="s">
        <v>3072</v>
      </c>
      <c r="G408" s="50" t="s">
        <v>3072</v>
      </c>
      <c r="H408" s="50" t="s">
        <v>1710</v>
      </c>
      <c r="I408" s="50" t="s">
        <v>3073</v>
      </c>
      <c r="J408" s="50"/>
      <c r="K408" s="50"/>
      <c r="L408" s="50"/>
      <c r="M408" s="50"/>
      <c r="N408" s="50"/>
      <c r="O408" s="50"/>
      <c r="P408" s="50"/>
      <c r="Q408" s="50"/>
      <c r="R408" s="50"/>
      <c r="S408" s="50"/>
      <c r="T408" s="50"/>
      <c r="U408" s="50"/>
      <c r="V408" s="50"/>
      <c r="W408" s="50"/>
      <c r="X408" s="50"/>
      <c r="Y408" s="50"/>
      <c r="Z408" s="50"/>
      <c r="AA408" s="50"/>
      <c r="AB408" s="50"/>
      <c r="AC408" s="50"/>
    </row>
    <row r="409">
      <c r="A409" s="48" t="s">
        <v>1703</v>
      </c>
      <c r="B409" s="49" t="s">
        <v>3074</v>
      </c>
      <c r="C409" s="48" t="s">
        <v>3075</v>
      </c>
      <c r="D409" s="50" t="str">
        <f>IFERROR(__xludf.DUMMYFUNCTION("""COMPUTED_VALUE"""),"Rivularis")</f>
        <v>Rivularis</v>
      </c>
      <c r="E409" s="50"/>
      <c r="F409" s="50" t="s">
        <v>3075</v>
      </c>
      <c r="G409" s="50" t="s">
        <v>3075</v>
      </c>
      <c r="H409" s="50" t="s">
        <v>1710</v>
      </c>
      <c r="I409" s="50" t="s">
        <v>3076</v>
      </c>
      <c r="J409" s="50"/>
      <c r="K409" s="50"/>
      <c r="L409" s="50"/>
      <c r="M409" s="50"/>
      <c r="N409" s="50"/>
      <c r="O409" s="50"/>
      <c r="P409" s="50"/>
      <c r="Q409" s="50"/>
      <c r="R409" s="50"/>
      <c r="S409" s="50"/>
      <c r="T409" s="50"/>
      <c r="U409" s="50"/>
      <c r="V409" s="50"/>
      <c r="W409" s="50"/>
      <c r="X409" s="50"/>
      <c r="Y409" s="50"/>
      <c r="Z409" s="50"/>
      <c r="AA409" s="50"/>
      <c r="AB409" s="50"/>
      <c r="AC409" s="50"/>
    </row>
    <row r="410">
      <c r="A410" s="48" t="s">
        <v>1703</v>
      </c>
      <c r="B410" s="49" t="s">
        <v>3077</v>
      </c>
      <c r="C410" s="48" t="s">
        <v>3078</v>
      </c>
      <c r="D410" s="50" t="str">
        <f>IFERROR(__xludf.DUMMYFUNCTION("""COMPUTED_VALUE"""),"Abiu")</f>
        <v>Abiu</v>
      </c>
      <c r="E410" s="50"/>
      <c r="F410" s="50" t="s">
        <v>3078</v>
      </c>
      <c r="G410" s="50" t="s">
        <v>3078</v>
      </c>
      <c r="H410" s="50" t="s">
        <v>1710</v>
      </c>
      <c r="I410" s="50" t="s">
        <v>3079</v>
      </c>
      <c r="J410" s="50"/>
      <c r="K410" s="50"/>
      <c r="L410" s="50"/>
      <c r="M410" s="50"/>
      <c r="N410" s="50"/>
      <c r="O410" s="50"/>
      <c r="P410" s="50"/>
      <c r="Q410" s="50"/>
      <c r="R410" s="50"/>
      <c r="S410" s="50"/>
      <c r="T410" s="50"/>
      <c r="U410" s="50"/>
      <c r="V410" s="50"/>
      <c r="W410" s="50"/>
      <c r="X410" s="50"/>
      <c r="Y410" s="50"/>
      <c r="Z410" s="50"/>
      <c r="AA410" s="50"/>
      <c r="AB410" s="50"/>
      <c r="AC410" s="50"/>
    </row>
    <row r="411">
      <c r="A411" s="48" t="s">
        <v>1703</v>
      </c>
      <c r="B411" s="49" t="s">
        <v>3080</v>
      </c>
      <c r="C411" s="48" t="s">
        <v>3081</v>
      </c>
      <c r="D411" s="50" t="str">
        <f>IFERROR(__xludf.DUMMYFUNCTION("""COMPUTED_VALUE"""),"Canistel")</f>
        <v>Canistel</v>
      </c>
      <c r="E411" s="50"/>
      <c r="F411" s="50" t="s">
        <v>3081</v>
      </c>
      <c r="G411" s="50" t="s">
        <v>3081</v>
      </c>
      <c r="H411" s="50" t="s">
        <v>1710</v>
      </c>
      <c r="I411" s="50" t="s">
        <v>3082</v>
      </c>
      <c r="J411" s="50"/>
      <c r="K411" s="50"/>
      <c r="L411" s="50"/>
      <c r="M411" s="50"/>
      <c r="N411" s="50"/>
      <c r="O411" s="50"/>
      <c r="P411" s="50"/>
      <c r="Q411" s="50"/>
      <c r="R411" s="50"/>
      <c r="S411" s="50"/>
      <c r="T411" s="50"/>
      <c r="U411" s="50"/>
      <c r="V411" s="50"/>
      <c r="W411" s="50"/>
      <c r="X411" s="50"/>
      <c r="Y411" s="50"/>
      <c r="Z411" s="50"/>
      <c r="AA411" s="50"/>
      <c r="AB411" s="50"/>
      <c r="AC411" s="50"/>
    </row>
    <row r="412">
      <c r="A412" s="48" t="s">
        <v>1703</v>
      </c>
      <c r="B412" s="49" t="s">
        <v>3083</v>
      </c>
      <c r="C412" s="48" t="s">
        <v>3084</v>
      </c>
      <c r="D412" s="50" t="str">
        <f>IFERROR(__xludf.DUMMYFUNCTION("""COMPUTED_VALUE"""),"Pomme À La Cannelle")</f>
        <v>Pomme À La Cannelle</v>
      </c>
      <c r="E412" s="50"/>
      <c r="F412" s="50" t="s">
        <v>3085</v>
      </c>
      <c r="G412" s="50" t="s">
        <v>3085</v>
      </c>
      <c r="H412" s="50" t="s">
        <v>1710</v>
      </c>
      <c r="I412" s="50" t="s">
        <v>3086</v>
      </c>
      <c r="J412" s="50"/>
      <c r="K412" s="50"/>
      <c r="L412" s="50"/>
      <c r="M412" s="50"/>
      <c r="N412" s="50"/>
      <c r="O412" s="50"/>
      <c r="P412" s="50"/>
      <c r="Q412" s="50"/>
      <c r="R412" s="50"/>
      <c r="S412" s="50"/>
      <c r="T412" s="50"/>
      <c r="U412" s="50"/>
      <c r="V412" s="50"/>
      <c r="W412" s="50"/>
      <c r="X412" s="50"/>
      <c r="Y412" s="50"/>
      <c r="Z412" s="50"/>
      <c r="AA412" s="50"/>
      <c r="AB412" s="50"/>
      <c r="AC412" s="50"/>
    </row>
    <row r="413">
      <c r="A413" s="48" t="s">
        <v>1703</v>
      </c>
      <c r="B413" s="49" t="s">
        <v>3087</v>
      </c>
      <c r="C413" s="48" t="s">
        <v>3088</v>
      </c>
      <c r="D413" s="50" t="str">
        <f>IFERROR(__xludf.DUMMYFUNCTION("""COMPUTED_VALUE"""),"Sapote Mamey")</f>
        <v>Sapote Mamey</v>
      </c>
      <c r="E413" s="50"/>
      <c r="F413" s="50" t="s">
        <v>3088</v>
      </c>
      <c r="G413" s="50" t="s">
        <v>3088</v>
      </c>
      <c r="H413" s="50" t="s">
        <v>1710</v>
      </c>
      <c r="I413" s="50" t="s">
        <v>3089</v>
      </c>
      <c r="J413" s="50"/>
      <c r="K413" s="50"/>
      <c r="L413" s="50"/>
      <c r="M413" s="50"/>
      <c r="N413" s="50"/>
      <c r="O413" s="50"/>
      <c r="P413" s="50"/>
      <c r="Q413" s="50"/>
      <c r="R413" s="50"/>
      <c r="S413" s="50"/>
      <c r="T413" s="50"/>
      <c r="U413" s="50"/>
      <c r="V413" s="50"/>
      <c r="W413" s="50"/>
      <c r="X413" s="50"/>
      <c r="Y413" s="50"/>
      <c r="Z413" s="50"/>
      <c r="AA413" s="50"/>
      <c r="AB413" s="50"/>
      <c r="AC413" s="50"/>
    </row>
    <row r="414">
      <c r="A414" s="48" t="s">
        <v>1703</v>
      </c>
      <c r="B414" s="49" t="s">
        <v>3090</v>
      </c>
      <c r="C414" s="48" t="s">
        <v>3091</v>
      </c>
      <c r="D414" s="50" t="str">
        <f>IFERROR(__xludf.DUMMYFUNCTION("""COMPUTED_VALUE"""),"Goyave")</f>
        <v>Goyave</v>
      </c>
      <c r="E414" s="50"/>
      <c r="F414" s="50" t="s">
        <v>3092</v>
      </c>
      <c r="G414" s="50" t="s">
        <v>3092</v>
      </c>
      <c r="H414" s="50" t="s">
        <v>1710</v>
      </c>
      <c r="I414" s="50" t="s">
        <v>3093</v>
      </c>
      <c r="J414" s="50"/>
      <c r="K414" s="50"/>
      <c r="L414" s="50"/>
      <c r="M414" s="50"/>
      <c r="N414" s="50"/>
      <c r="O414" s="50"/>
      <c r="P414" s="50"/>
      <c r="Q414" s="50"/>
      <c r="R414" s="50"/>
      <c r="S414" s="50"/>
      <c r="T414" s="50"/>
      <c r="U414" s="50"/>
      <c r="V414" s="50"/>
      <c r="W414" s="50"/>
      <c r="X414" s="50"/>
      <c r="Y414" s="50"/>
      <c r="Z414" s="50"/>
      <c r="AA414" s="50"/>
      <c r="AB414" s="50"/>
      <c r="AC414" s="50"/>
    </row>
    <row r="415">
      <c r="A415" s="48" t="s">
        <v>1703</v>
      </c>
      <c r="B415" s="49" t="s">
        <v>3094</v>
      </c>
      <c r="C415" s="48" t="s">
        <v>3095</v>
      </c>
      <c r="D415" s="50" t="str">
        <f>IFERROR(__xludf.DUMMYFUNCTION("""COMPUTED_VALUE"""),"Grenade")</f>
        <v>Grenade</v>
      </c>
      <c r="E415" s="50"/>
      <c r="F415" s="50" t="s">
        <v>3096</v>
      </c>
      <c r="G415" s="50" t="s">
        <v>3097</v>
      </c>
      <c r="H415" s="50" t="s">
        <v>1710</v>
      </c>
      <c r="I415" s="50" t="s">
        <v>3098</v>
      </c>
      <c r="J415" s="50"/>
      <c r="K415" s="50"/>
      <c r="L415" s="50"/>
      <c r="M415" s="50"/>
      <c r="N415" s="50"/>
      <c r="O415" s="50"/>
      <c r="P415" s="50"/>
      <c r="Q415" s="50"/>
      <c r="R415" s="50"/>
      <c r="S415" s="50"/>
      <c r="T415" s="50"/>
      <c r="U415" s="50"/>
      <c r="V415" s="50"/>
      <c r="W415" s="50"/>
      <c r="X415" s="50"/>
      <c r="Y415" s="50"/>
      <c r="Z415" s="50"/>
      <c r="AA415" s="50"/>
      <c r="AB415" s="50"/>
      <c r="AC415" s="50"/>
    </row>
    <row r="416">
      <c r="A416" s="48" t="s">
        <v>1703</v>
      </c>
      <c r="B416" s="49" t="s">
        <v>3099</v>
      </c>
      <c r="C416" s="48" t="s">
        <v>3100</v>
      </c>
      <c r="D416" s="50" t="str">
        <f>IFERROR(__xludf.DUMMYFUNCTION("""COMPUTED_VALUE"""),"Katuk")</f>
        <v>Katuk</v>
      </c>
      <c r="E416" s="50"/>
      <c r="F416" s="50" t="s">
        <v>3101</v>
      </c>
      <c r="G416" s="50" t="s">
        <v>3101</v>
      </c>
      <c r="H416" s="50" t="s">
        <v>1710</v>
      </c>
      <c r="I416" s="50" t="s">
        <v>3102</v>
      </c>
      <c r="J416" s="50"/>
      <c r="K416" s="50"/>
      <c r="L416" s="50"/>
      <c r="M416" s="50"/>
      <c r="N416" s="50"/>
      <c r="O416" s="50"/>
      <c r="P416" s="50"/>
      <c r="Q416" s="50"/>
      <c r="R416" s="50"/>
      <c r="S416" s="50"/>
      <c r="T416" s="50"/>
      <c r="U416" s="50"/>
      <c r="V416" s="50"/>
      <c r="W416" s="50"/>
      <c r="X416" s="50"/>
      <c r="Y416" s="50"/>
      <c r="Z416" s="50"/>
      <c r="AA416" s="50"/>
      <c r="AB416" s="50"/>
      <c r="AC416" s="50"/>
    </row>
    <row r="417">
      <c r="A417" s="48" t="s">
        <v>1703</v>
      </c>
      <c r="B417" s="49" t="s">
        <v>3103</v>
      </c>
      <c r="C417" s="48" t="s">
        <v>3104</v>
      </c>
      <c r="D417" s="50" t="str">
        <f>IFERROR(__xludf.DUMMYFUNCTION("""COMPUTED_VALUE"""),"Fruit Du Dragon Jaune")</f>
        <v>Fruit Du Dragon Jaune</v>
      </c>
      <c r="E417" s="50"/>
      <c r="F417" s="50" t="s">
        <v>3105</v>
      </c>
      <c r="G417" s="50" t="s">
        <v>3105</v>
      </c>
      <c r="H417" s="50" t="s">
        <v>1710</v>
      </c>
      <c r="I417" s="50" t="s">
        <v>3106</v>
      </c>
      <c r="J417" s="50"/>
      <c r="K417" s="50"/>
      <c r="L417" s="50"/>
      <c r="M417" s="50"/>
      <c r="N417" s="50"/>
      <c r="O417" s="50"/>
      <c r="P417" s="50"/>
      <c r="Q417" s="50"/>
      <c r="R417" s="50"/>
      <c r="S417" s="50"/>
      <c r="T417" s="50"/>
      <c r="U417" s="50"/>
      <c r="V417" s="50"/>
      <c r="W417" s="50"/>
      <c r="X417" s="50"/>
      <c r="Y417" s="50"/>
      <c r="Z417" s="50"/>
      <c r="AA417" s="50"/>
      <c r="AB417" s="50"/>
      <c r="AC417" s="50"/>
    </row>
    <row r="418">
      <c r="A418" s="48" t="s">
        <v>1703</v>
      </c>
      <c r="B418" s="49" t="s">
        <v>3107</v>
      </c>
      <c r="C418" s="48" t="s">
        <v>3108</v>
      </c>
      <c r="D418" s="50" t="str">
        <f>IFERROR(__xludf.DUMMYFUNCTION("""COMPUTED_VALUE"""),"Tomate")</f>
        <v>Tomate</v>
      </c>
      <c r="E418" s="50"/>
      <c r="F418" s="50" t="s">
        <v>3109</v>
      </c>
      <c r="G418" s="50" t="s">
        <v>3109</v>
      </c>
      <c r="H418" s="50" t="s">
        <v>1710</v>
      </c>
      <c r="I418" s="50" t="s">
        <v>3110</v>
      </c>
      <c r="J418" s="50"/>
      <c r="K418" s="50"/>
      <c r="L418" s="50"/>
      <c r="M418" s="50"/>
      <c r="N418" s="50"/>
      <c r="O418" s="50"/>
      <c r="P418" s="50"/>
      <c r="Q418" s="50"/>
      <c r="R418" s="50"/>
      <c r="S418" s="50"/>
      <c r="T418" s="50"/>
      <c r="U418" s="50"/>
      <c r="V418" s="50"/>
      <c r="W418" s="50"/>
      <c r="X418" s="50"/>
      <c r="Y418" s="50"/>
      <c r="Z418" s="50"/>
      <c r="AA418" s="50"/>
      <c r="AB418" s="50"/>
      <c r="AC418" s="50"/>
    </row>
    <row r="419">
      <c r="A419" s="48" t="s">
        <v>1703</v>
      </c>
      <c r="B419" s="49" t="s">
        <v>3111</v>
      </c>
      <c r="C419" s="48" t="s">
        <v>3112</v>
      </c>
      <c r="D419" s="50" t="str">
        <f>IFERROR(__xludf.DUMMYFUNCTION("""COMPUTED_VALUE"""),"Tomate Everglades/Groseille")</f>
        <v>Tomate Everglades/Groseille</v>
      </c>
      <c r="E419" s="50"/>
      <c r="F419" s="50" t="s">
        <v>3113</v>
      </c>
      <c r="G419" s="50" t="s">
        <v>3113</v>
      </c>
      <c r="H419" s="50" t="s">
        <v>1710</v>
      </c>
      <c r="I419" s="50" t="s">
        <v>3114</v>
      </c>
      <c r="J419" s="50"/>
      <c r="K419" s="50"/>
      <c r="L419" s="50"/>
      <c r="M419" s="50"/>
      <c r="N419" s="50"/>
      <c r="O419" s="50"/>
      <c r="P419" s="50"/>
      <c r="Q419" s="50"/>
      <c r="R419" s="50"/>
      <c r="S419" s="50"/>
      <c r="T419" s="50"/>
      <c r="U419" s="50"/>
      <c r="V419" s="50"/>
      <c r="W419" s="50"/>
      <c r="X419" s="50"/>
      <c r="Y419" s="50"/>
      <c r="Z419" s="50"/>
      <c r="AA419" s="50"/>
      <c r="AB419" s="50"/>
      <c r="AC419" s="50"/>
    </row>
    <row r="420">
      <c r="A420" s="48" t="s">
        <v>1703</v>
      </c>
      <c r="B420" s="49" t="s">
        <v>3115</v>
      </c>
      <c r="C420" s="48" t="s">
        <v>3116</v>
      </c>
      <c r="D420" s="50" t="str">
        <f>IFERROR(__xludf.DUMMYFUNCTION("""COMPUTED_VALUE"""),"Prune De Juin")</f>
        <v>Prune De Juin</v>
      </c>
      <c r="E420" s="50"/>
      <c r="F420" s="50" t="s">
        <v>3117</v>
      </c>
      <c r="G420" s="50" t="s">
        <v>3117</v>
      </c>
      <c r="H420" s="50" t="s">
        <v>1710</v>
      </c>
      <c r="I420" s="50" t="s">
        <v>3118</v>
      </c>
      <c r="J420" s="50"/>
      <c r="K420" s="50"/>
      <c r="L420" s="50"/>
      <c r="M420" s="50"/>
      <c r="N420" s="50"/>
      <c r="O420" s="50"/>
      <c r="P420" s="50"/>
      <c r="Q420" s="50"/>
      <c r="R420" s="50"/>
      <c r="S420" s="50"/>
      <c r="T420" s="50"/>
      <c r="U420" s="50"/>
      <c r="V420" s="50"/>
      <c r="W420" s="50"/>
      <c r="X420" s="50"/>
      <c r="Y420" s="50"/>
      <c r="Z420" s="50"/>
      <c r="AA420" s="50"/>
      <c r="AB420" s="50"/>
      <c r="AC420" s="50"/>
    </row>
    <row r="421">
      <c r="A421" s="48" t="s">
        <v>1703</v>
      </c>
      <c r="B421" s="49" t="s">
        <v>3119</v>
      </c>
      <c r="C421" s="48" t="s">
        <v>3120</v>
      </c>
      <c r="D421" s="50" t="str">
        <f>IFERROR(__xludf.DUMMYFUNCTION("""COMPUTED_VALUE"""),"Mombin")</f>
        <v>Mombin</v>
      </c>
      <c r="E421" s="50"/>
      <c r="F421" s="50" t="s">
        <v>3121</v>
      </c>
      <c r="G421" s="50" t="s">
        <v>3122</v>
      </c>
      <c r="H421" s="50" t="s">
        <v>1710</v>
      </c>
      <c r="I421" s="50" t="s">
        <v>3123</v>
      </c>
      <c r="J421" s="50"/>
      <c r="K421" s="50"/>
      <c r="L421" s="50"/>
      <c r="M421" s="50"/>
      <c r="N421" s="50"/>
      <c r="O421" s="50"/>
      <c r="P421" s="50"/>
      <c r="Q421" s="50"/>
      <c r="R421" s="50"/>
      <c r="S421" s="50"/>
      <c r="T421" s="50"/>
      <c r="U421" s="50"/>
      <c r="V421" s="50"/>
      <c r="W421" s="50"/>
      <c r="X421" s="50"/>
      <c r="Y421" s="50"/>
      <c r="Z421" s="50"/>
      <c r="AA421" s="50"/>
      <c r="AB421" s="50"/>
      <c r="AC421" s="50"/>
    </row>
    <row r="422">
      <c r="A422" s="48" t="s">
        <v>1703</v>
      </c>
      <c r="B422" s="49" t="s">
        <v>3124</v>
      </c>
      <c r="C422" s="48" t="s">
        <v>3125</v>
      </c>
      <c r="D422" s="50" t="str">
        <f>IFERROR(__xludf.DUMMYFUNCTION("""COMPUTED_VALUE"""),"Baie Miracle")</f>
        <v>Baie Miracle</v>
      </c>
      <c r="E422" s="50"/>
      <c r="F422" s="50" t="s">
        <v>3126</v>
      </c>
      <c r="G422" s="50" t="s">
        <v>3126</v>
      </c>
      <c r="H422" s="50" t="s">
        <v>1710</v>
      </c>
      <c r="I422" s="50" t="s">
        <v>3127</v>
      </c>
      <c r="J422" s="50"/>
      <c r="K422" s="50"/>
      <c r="L422" s="50"/>
      <c r="M422" s="50"/>
      <c r="N422" s="50"/>
      <c r="O422" s="50"/>
      <c r="P422" s="50"/>
      <c r="Q422" s="50"/>
      <c r="R422" s="50"/>
      <c r="S422" s="50"/>
      <c r="T422" s="50"/>
      <c r="U422" s="50"/>
      <c r="V422" s="50"/>
      <c r="W422" s="50"/>
      <c r="X422" s="50"/>
      <c r="Y422" s="50"/>
      <c r="Z422" s="50"/>
      <c r="AA422" s="50"/>
      <c r="AB422" s="50"/>
      <c r="AC422" s="50"/>
    </row>
    <row r="423">
      <c r="A423" s="48" t="s">
        <v>1703</v>
      </c>
      <c r="B423" s="49" t="s">
        <v>3128</v>
      </c>
      <c r="C423" s="48" t="s">
        <v>3129</v>
      </c>
      <c r="D423" s="50" t="str">
        <f>IFERROR(__xludf.DUMMYFUNCTION("""COMPUTED_VALUE"""),"Pomme Malaise")</f>
        <v>Pomme Malaise</v>
      </c>
      <c r="E423" s="50"/>
      <c r="F423" s="50" t="s">
        <v>3130</v>
      </c>
      <c r="G423" s="50" t="s">
        <v>3131</v>
      </c>
      <c r="H423" s="50" t="s">
        <v>1710</v>
      </c>
      <c r="I423" s="50" t="s">
        <v>3132</v>
      </c>
      <c r="J423" s="50"/>
      <c r="K423" s="50"/>
      <c r="L423" s="50"/>
      <c r="M423" s="50"/>
      <c r="N423" s="50"/>
      <c r="O423" s="50"/>
      <c r="P423" s="50"/>
      <c r="Q423" s="50"/>
      <c r="R423" s="50"/>
      <c r="S423" s="50"/>
      <c r="T423" s="50"/>
      <c r="U423" s="50"/>
      <c r="V423" s="50"/>
      <c r="W423" s="50"/>
      <c r="X423" s="50"/>
      <c r="Y423" s="50"/>
      <c r="Z423" s="50"/>
      <c r="AA423" s="50"/>
      <c r="AB423" s="50"/>
      <c r="AC423" s="50"/>
    </row>
    <row r="424">
      <c r="A424" s="48" t="s">
        <v>1703</v>
      </c>
      <c r="B424" s="49" t="s">
        <v>3133</v>
      </c>
      <c r="C424" s="48" t="s">
        <v>3134</v>
      </c>
      <c r="D424" s="50" t="str">
        <f>IFERROR(__xludf.DUMMYFUNCTION("""COMPUTED_VALUE"""),"Joyaux D'Opar")</f>
        <v>Joyaux D'Opar</v>
      </c>
      <c r="E424" s="50"/>
      <c r="F424" s="50" t="s">
        <v>3135</v>
      </c>
      <c r="G424" s="50" t="s">
        <v>3135</v>
      </c>
      <c r="H424" s="50" t="s">
        <v>1710</v>
      </c>
      <c r="I424" s="50" t="s">
        <v>3136</v>
      </c>
      <c r="J424" s="50"/>
      <c r="K424" s="50"/>
      <c r="L424" s="50"/>
      <c r="M424" s="50"/>
      <c r="N424" s="50"/>
      <c r="O424" s="50"/>
      <c r="P424" s="50"/>
      <c r="Q424" s="50"/>
      <c r="R424" s="50"/>
      <c r="S424" s="50"/>
      <c r="T424" s="50"/>
      <c r="U424" s="50"/>
      <c r="V424" s="50"/>
      <c r="W424" s="50"/>
      <c r="X424" s="50"/>
      <c r="Y424" s="50"/>
      <c r="Z424" s="50"/>
      <c r="AA424" s="50"/>
      <c r="AB424" s="50"/>
      <c r="AC424" s="50"/>
    </row>
    <row r="425">
      <c r="A425" s="48" t="s">
        <v>1703</v>
      </c>
      <c r="B425" s="49" t="s">
        <v>3137</v>
      </c>
      <c r="C425" s="48" t="s">
        <v>3138</v>
      </c>
      <c r="D425" s="50" t="str">
        <f>IFERROR(__xludf.DUMMYFUNCTION("""COMPUTED_VALUE"""),"Épinards De Nouvelle-Zélande")</f>
        <v>Épinards De Nouvelle-Zélande</v>
      </c>
      <c r="E425" s="50"/>
      <c r="F425" s="50" t="s">
        <v>3139</v>
      </c>
      <c r="G425" s="50" t="s">
        <v>3139</v>
      </c>
      <c r="H425" s="50" t="s">
        <v>1710</v>
      </c>
      <c r="I425" s="50" t="s">
        <v>3140</v>
      </c>
      <c r="J425" s="50"/>
      <c r="K425" s="50"/>
      <c r="L425" s="50"/>
      <c r="M425" s="50"/>
      <c r="N425" s="50"/>
      <c r="O425" s="50"/>
      <c r="P425" s="50"/>
      <c r="Q425" s="50"/>
      <c r="R425" s="50"/>
      <c r="S425" s="50"/>
      <c r="T425" s="50"/>
      <c r="U425" s="50"/>
      <c r="V425" s="50"/>
      <c r="W425" s="50"/>
      <c r="X425" s="50"/>
      <c r="Y425" s="50"/>
      <c r="Z425" s="50"/>
      <c r="AA425" s="50"/>
      <c r="AB425" s="50"/>
      <c r="AC425" s="50"/>
    </row>
    <row r="426">
      <c r="A426" s="48" t="s">
        <v>1703</v>
      </c>
      <c r="B426" s="49" t="s">
        <v>3141</v>
      </c>
      <c r="C426" s="48" t="s">
        <v>3142</v>
      </c>
      <c r="D426" s="50" t="str">
        <f>IFERROR(__xludf.DUMMYFUNCTION("""COMPUTED_VALUE"""),"Vanille")</f>
        <v>Vanille</v>
      </c>
      <c r="E426" s="50"/>
      <c r="F426" s="50" t="s">
        <v>3143</v>
      </c>
      <c r="G426" s="50" t="s">
        <v>3143</v>
      </c>
      <c r="H426" s="50" t="s">
        <v>1710</v>
      </c>
      <c r="I426" s="50" t="s">
        <v>3144</v>
      </c>
      <c r="J426" s="50"/>
      <c r="K426" s="50"/>
      <c r="L426" s="50"/>
      <c r="M426" s="50"/>
      <c r="N426" s="50"/>
      <c r="O426" s="50"/>
      <c r="P426" s="50"/>
      <c r="Q426" s="50"/>
      <c r="R426" s="50"/>
      <c r="S426" s="50"/>
      <c r="T426" s="50"/>
      <c r="U426" s="50"/>
      <c r="V426" s="50"/>
      <c r="W426" s="50"/>
      <c r="X426" s="50"/>
      <c r="Y426" s="50"/>
      <c r="Z426" s="50"/>
      <c r="AA426" s="50"/>
      <c r="AB426" s="50"/>
      <c r="AC426" s="50"/>
    </row>
    <row r="427">
      <c r="A427" s="48" t="s">
        <v>1703</v>
      </c>
      <c r="B427" s="49" t="s">
        <v>3145</v>
      </c>
      <c r="C427" s="48" t="s">
        <v>3146</v>
      </c>
      <c r="D427" s="50" t="str">
        <f>IFERROR(__xludf.DUMMYFUNCTION("""COMPUTED_VALUE"""),"Vanille De Tahiti")</f>
        <v>Vanille De Tahiti</v>
      </c>
      <c r="E427" s="50"/>
      <c r="F427" s="50" t="s">
        <v>3147</v>
      </c>
      <c r="G427" s="50" t="s">
        <v>3147</v>
      </c>
      <c r="H427" s="50" t="s">
        <v>1710</v>
      </c>
      <c r="I427" s="50" t="s">
        <v>3148</v>
      </c>
      <c r="J427" s="50"/>
      <c r="K427" s="50"/>
      <c r="L427" s="50"/>
      <c r="M427" s="50"/>
      <c r="N427" s="50"/>
      <c r="O427" s="50"/>
      <c r="P427" s="50"/>
      <c r="Q427" s="50"/>
      <c r="R427" s="50"/>
      <c r="S427" s="50"/>
      <c r="T427" s="50"/>
      <c r="U427" s="50"/>
      <c r="V427" s="50"/>
      <c r="W427" s="50"/>
      <c r="X427" s="50"/>
      <c r="Y427" s="50"/>
      <c r="Z427" s="50"/>
      <c r="AA427" s="50"/>
      <c r="AB427" s="50"/>
      <c r="AC427" s="50"/>
    </row>
    <row r="428">
      <c r="A428" s="48" t="s">
        <v>1703</v>
      </c>
      <c r="B428" s="49" t="s">
        <v>3149</v>
      </c>
      <c r="C428" s="48" t="s">
        <v>3150</v>
      </c>
      <c r="D428" s="50" t="str">
        <f>IFERROR(__xludf.DUMMYFUNCTION("""COMPUTED_VALUE"""),"Niébé")</f>
        <v>Niébé</v>
      </c>
      <c r="E428" s="50"/>
      <c r="F428" s="50" t="s">
        <v>3151</v>
      </c>
      <c r="G428" s="50" t="s">
        <v>3151</v>
      </c>
      <c r="H428" s="50" t="s">
        <v>1710</v>
      </c>
      <c r="I428" s="50" t="s">
        <v>3152</v>
      </c>
      <c r="J428" s="50"/>
      <c r="K428" s="50"/>
      <c r="L428" s="50"/>
      <c r="M428" s="50"/>
      <c r="N428" s="50"/>
      <c r="O428" s="50"/>
      <c r="P428" s="50"/>
      <c r="Q428" s="50"/>
      <c r="R428" s="50"/>
      <c r="S428" s="50"/>
      <c r="T428" s="50"/>
      <c r="U428" s="50"/>
      <c r="V428" s="50"/>
      <c r="W428" s="50"/>
      <c r="X428" s="50"/>
      <c r="Y428" s="50"/>
      <c r="Z428" s="50"/>
      <c r="AA428" s="50"/>
      <c r="AB428" s="50"/>
      <c r="AC428" s="50"/>
    </row>
    <row r="429">
      <c r="A429" s="48" t="s">
        <v>1703</v>
      </c>
      <c r="B429" s="49" t="s">
        <v>3153</v>
      </c>
      <c r="C429" s="48" t="s">
        <v>3154</v>
      </c>
      <c r="D429" s="50" t="str">
        <f>IFERROR(__xludf.DUMMYFUNCTION("""COMPUTED_VALUE"""),"Haricot Long")</f>
        <v>Haricot Long</v>
      </c>
      <c r="E429" s="50"/>
      <c r="F429" s="50" t="s">
        <v>3155</v>
      </c>
      <c r="G429" s="50" t="s">
        <v>3155</v>
      </c>
      <c r="H429" s="50" t="s">
        <v>1710</v>
      </c>
      <c r="I429" s="50" t="s">
        <v>3156</v>
      </c>
      <c r="J429" s="50"/>
      <c r="K429" s="50"/>
      <c r="L429" s="50"/>
      <c r="M429" s="50"/>
      <c r="N429" s="50"/>
      <c r="O429" s="50"/>
      <c r="P429" s="50"/>
      <c r="Q429" s="50"/>
      <c r="R429" s="50"/>
      <c r="S429" s="50"/>
      <c r="T429" s="50"/>
      <c r="U429" s="50"/>
      <c r="V429" s="50"/>
      <c r="W429" s="50"/>
      <c r="X429" s="50"/>
      <c r="Y429" s="50"/>
      <c r="Z429" s="50"/>
      <c r="AA429" s="50"/>
      <c r="AB429" s="50"/>
      <c r="AC429" s="50"/>
    </row>
    <row r="430">
      <c r="A430" s="48" t="s">
        <v>1703</v>
      </c>
      <c r="B430" s="49" t="s">
        <v>3157</v>
      </c>
      <c r="C430" s="48" t="s">
        <v>3158</v>
      </c>
      <c r="D430" s="50" t="str">
        <f>IFERROR(__xludf.DUMMYFUNCTION("""COMPUTED_VALUE"""),"Maïs")</f>
        <v>Maïs</v>
      </c>
      <c r="E430" s="50"/>
      <c r="F430" s="50" t="s">
        <v>3159</v>
      </c>
      <c r="G430" s="50" t="s">
        <v>3159</v>
      </c>
      <c r="H430" s="50" t="s">
        <v>1710</v>
      </c>
      <c r="I430" s="50" t="s">
        <v>3160</v>
      </c>
      <c r="J430" s="50"/>
      <c r="K430" s="50"/>
      <c r="L430" s="50"/>
      <c r="M430" s="50"/>
      <c r="N430" s="50"/>
      <c r="O430" s="50"/>
      <c r="P430" s="50"/>
      <c r="Q430" s="50"/>
      <c r="R430" s="50"/>
      <c r="S430" s="50"/>
      <c r="T430" s="50"/>
      <c r="U430" s="50"/>
      <c r="V430" s="50"/>
      <c r="W430" s="50"/>
      <c r="X430" s="50"/>
      <c r="Y430" s="50"/>
      <c r="Z430" s="50"/>
      <c r="AA430" s="50"/>
      <c r="AB430" s="50"/>
      <c r="AC430" s="50"/>
    </row>
    <row r="431">
      <c r="A431" s="48" t="s">
        <v>1703</v>
      </c>
      <c r="B431" s="49" t="s">
        <v>3161</v>
      </c>
      <c r="C431" s="48" t="s">
        <v>3162</v>
      </c>
      <c r="D431" s="50" t="str">
        <f>IFERROR(__xludf.DUMMYFUNCTION("""COMPUTED_VALUE"""),"Jujube")</f>
        <v>Jujube</v>
      </c>
      <c r="E431" s="50"/>
      <c r="F431" s="50" t="s">
        <v>3162</v>
      </c>
      <c r="G431" s="50" t="s">
        <v>3162</v>
      </c>
      <c r="H431" s="50" t="s">
        <v>1710</v>
      </c>
      <c r="I431" s="50" t="s">
        <v>3163</v>
      </c>
      <c r="J431" s="50"/>
      <c r="K431" s="50"/>
      <c r="L431" s="50"/>
      <c r="M431" s="50"/>
      <c r="N431" s="50"/>
      <c r="O431" s="50"/>
      <c r="P431" s="50"/>
      <c r="Q431" s="50"/>
      <c r="R431" s="50"/>
      <c r="S431" s="50"/>
      <c r="T431" s="50"/>
      <c r="U431" s="50"/>
      <c r="V431" s="50"/>
      <c r="W431" s="50"/>
      <c r="X431" s="50"/>
      <c r="Y431" s="50"/>
      <c r="Z431" s="50"/>
      <c r="AA431" s="50"/>
      <c r="AB431" s="50"/>
      <c r="AC431" s="50"/>
    </row>
    <row r="432">
      <c r="A432" s="48"/>
      <c r="B432" s="49"/>
      <c r="C432" s="48"/>
      <c r="D432" s="50" t="str">
        <f>IFERROR(__xludf.DUMMYFUNCTION("""COMPUTED_VALUE"""),"")</f>
        <v/>
      </c>
      <c r="E432" s="50"/>
      <c r="F432" s="50"/>
      <c r="G432" s="50"/>
      <c r="H432" s="50" t="s">
        <v>1710</v>
      </c>
      <c r="I432" s="50"/>
      <c r="J432" s="50"/>
      <c r="K432" s="50"/>
      <c r="L432" s="50"/>
      <c r="M432" s="50"/>
      <c r="N432" s="50"/>
      <c r="O432" s="50"/>
      <c r="P432" s="50"/>
      <c r="Q432" s="50"/>
      <c r="R432" s="50"/>
      <c r="S432" s="50"/>
      <c r="T432" s="50"/>
      <c r="U432" s="50"/>
      <c r="V432" s="50"/>
      <c r="W432" s="50"/>
      <c r="X432" s="50"/>
      <c r="Y432" s="50"/>
      <c r="Z432" s="50"/>
      <c r="AA432" s="50"/>
      <c r="AB432" s="50"/>
      <c r="AC432" s="50"/>
    </row>
    <row r="433">
      <c r="A433" s="48"/>
      <c r="B433" s="49"/>
      <c r="C433" s="48"/>
      <c r="D433" s="50" t="str">
        <f>IFERROR(__xludf.DUMMYFUNCTION("""COMPUTED_VALUE"""),"")</f>
        <v/>
      </c>
      <c r="E433" s="50"/>
      <c r="F433" s="50"/>
      <c r="G433" s="50"/>
      <c r="H433" s="50" t="s">
        <v>1710</v>
      </c>
      <c r="I433" s="50"/>
      <c r="J433" s="50"/>
      <c r="K433" s="50"/>
      <c r="L433" s="50"/>
      <c r="M433" s="50"/>
      <c r="N433" s="50"/>
      <c r="O433" s="50"/>
      <c r="P433" s="50"/>
      <c r="Q433" s="50"/>
      <c r="R433" s="50"/>
      <c r="S433" s="50"/>
      <c r="T433" s="50"/>
      <c r="U433" s="50"/>
      <c r="V433" s="50"/>
      <c r="W433" s="50"/>
      <c r="X433" s="50"/>
      <c r="Y433" s="50"/>
      <c r="Z433" s="50"/>
      <c r="AA433" s="50"/>
      <c r="AB433" s="50"/>
      <c r="AC433" s="50"/>
    </row>
    <row r="434">
      <c r="A434" s="48"/>
      <c r="B434" s="49"/>
      <c r="C434" s="48"/>
      <c r="D434" s="50" t="str">
        <f>IFERROR(__xludf.DUMMYFUNCTION("""COMPUTED_VALUE"""),"")</f>
        <v/>
      </c>
      <c r="E434" s="50"/>
      <c r="F434" s="50"/>
      <c r="G434" s="50"/>
      <c r="H434" s="50" t="s">
        <v>1710</v>
      </c>
      <c r="I434" s="50"/>
      <c r="J434" s="50"/>
      <c r="K434" s="50"/>
      <c r="L434" s="50"/>
      <c r="M434" s="50"/>
      <c r="N434" s="50"/>
      <c r="O434" s="50"/>
      <c r="P434" s="50"/>
      <c r="Q434" s="50"/>
      <c r="R434" s="50"/>
      <c r="S434" s="50"/>
      <c r="T434" s="50"/>
      <c r="U434" s="50"/>
      <c r="V434" s="50"/>
      <c r="W434" s="50"/>
      <c r="X434" s="50"/>
      <c r="Y434" s="50"/>
      <c r="Z434" s="50"/>
      <c r="AA434" s="50"/>
      <c r="AB434" s="50"/>
      <c r="AC434" s="50"/>
    </row>
    <row r="435">
      <c r="A435" s="48"/>
      <c r="B435" s="49"/>
      <c r="C435" s="48"/>
      <c r="D435" s="50" t="str">
        <f>IFERROR(__xludf.DUMMYFUNCTION("""COMPUTED_VALUE"""),"")</f>
        <v/>
      </c>
      <c r="E435" s="50"/>
      <c r="F435" s="50"/>
      <c r="G435" s="50"/>
      <c r="H435" s="50" t="s">
        <v>1710</v>
      </c>
      <c r="I435" s="50"/>
      <c r="J435" s="50"/>
      <c r="K435" s="50"/>
      <c r="L435" s="50"/>
      <c r="M435" s="50"/>
      <c r="N435" s="50"/>
      <c r="O435" s="50"/>
      <c r="P435" s="50"/>
      <c r="Q435" s="50"/>
      <c r="R435" s="50"/>
      <c r="S435" s="50"/>
      <c r="T435" s="50"/>
      <c r="U435" s="50"/>
      <c r="V435" s="50"/>
      <c r="W435" s="50"/>
      <c r="X435" s="50"/>
      <c r="Y435" s="50"/>
      <c r="Z435" s="50"/>
      <c r="AA435" s="50"/>
      <c r="AB435" s="50"/>
      <c r="AC435" s="50"/>
    </row>
    <row r="436">
      <c r="A436" s="48"/>
      <c r="B436" s="49"/>
      <c r="C436" s="48"/>
      <c r="D436" s="50" t="str">
        <f>IFERROR(__xludf.DUMMYFUNCTION("""COMPUTED_VALUE"""),"")</f>
        <v/>
      </c>
      <c r="E436" s="50"/>
      <c r="F436" s="50"/>
      <c r="G436" s="50"/>
      <c r="H436" s="50" t="s">
        <v>1710</v>
      </c>
      <c r="I436" s="50"/>
      <c r="J436" s="50"/>
      <c r="K436" s="50"/>
      <c r="L436" s="50"/>
      <c r="M436" s="50"/>
      <c r="N436" s="50"/>
      <c r="O436" s="50"/>
      <c r="P436" s="50"/>
      <c r="Q436" s="50"/>
      <c r="R436" s="50"/>
      <c r="S436" s="50"/>
      <c r="T436" s="50"/>
      <c r="U436" s="50"/>
      <c r="V436" s="50"/>
      <c r="W436" s="50"/>
      <c r="X436" s="50"/>
      <c r="Y436" s="50"/>
      <c r="Z436" s="50"/>
      <c r="AA436" s="50"/>
      <c r="AB436" s="50"/>
      <c r="AC436" s="50"/>
    </row>
    <row r="437">
      <c r="A437" s="48"/>
      <c r="B437" s="49"/>
      <c r="C437" s="48"/>
      <c r="D437" s="50" t="str">
        <f>IFERROR(__xludf.DUMMYFUNCTION("""COMPUTED_VALUE"""),"")</f>
        <v/>
      </c>
      <c r="E437" s="50"/>
      <c r="F437" s="50"/>
      <c r="G437" s="50"/>
      <c r="H437" s="50" t="s">
        <v>1710</v>
      </c>
      <c r="I437" s="50"/>
      <c r="J437" s="50"/>
      <c r="K437" s="50"/>
      <c r="L437" s="50"/>
      <c r="M437" s="50"/>
      <c r="N437" s="50"/>
      <c r="O437" s="50"/>
      <c r="P437" s="50"/>
      <c r="Q437" s="50"/>
      <c r="R437" s="50"/>
      <c r="S437" s="50"/>
      <c r="T437" s="50"/>
      <c r="U437" s="50"/>
      <c r="V437" s="50"/>
      <c r="W437" s="50"/>
      <c r="X437" s="50"/>
      <c r="Y437" s="50"/>
      <c r="Z437" s="50"/>
      <c r="AA437" s="50"/>
      <c r="AB437" s="50"/>
      <c r="AC437" s="50"/>
    </row>
    <row r="438">
      <c r="A438" s="48"/>
      <c r="B438" s="49"/>
      <c r="C438" s="48"/>
      <c r="D438" s="50" t="str">
        <f>IFERROR(__xludf.DUMMYFUNCTION("""COMPUTED_VALUE"""),"")</f>
        <v/>
      </c>
      <c r="E438" s="50"/>
      <c r="F438" s="50"/>
      <c r="G438" s="50"/>
      <c r="H438" s="50" t="s">
        <v>1710</v>
      </c>
      <c r="I438" s="50"/>
      <c r="J438" s="50"/>
      <c r="K438" s="50"/>
      <c r="L438" s="50"/>
      <c r="M438" s="50"/>
      <c r="N438" s="50"/>
      <c r="O438" s="50"/>
      <c r="P438" s="50"/>
      <c r="Q438" s="50"/>
      <c r="R438" s="50"/>
      <c r="S438" s="50"/>
      <c r="T438" s="50"/>
      <c r="U438" s="50"/>
      <c r="V438" s="50"/>
      <c r="W438" s="50"/>
      <c r="X438" s="50"/>
      <c r="Y438" s="50"/>
      <c r="Z438" s="50"/>
      <c r="AA438" s="50"/>
      <c r="AB438" s="50"/>
      <c r="AC438" s="50"/>
    </row>
    <row r="439">
      <c r="A439" s="48"/>
      <c r="B439" s="49"/>
      <c r="C439" s="48"/>
      <c r="D439" s="50" t="str">
        <f>IFERROR(__xludf.DUMMYFUNCTION("""COMPUTED_VALUE"""),"")</f>
        <v/>
      </c>
      <c r="E439" s="50"/>
      <c r="F439" s="50"/>
      <c r="G439" s="50"/>
      <c r="H439" s="50" t="s">
        <v>1710</v>
      </c>
      <c r="I439" s="50"/>
      <c r="J439" s="50"/>
      <c r="K439" s="50"/>
      <c r="L439" s="50"/>
      <c r="M439" s="50"/>
      <c r="N439" s="50"/>
      <c r="O439" s="50"/>
      <c r="P439" s="50"/>
      <c r="Q439" s="50"/>
      <c r="R439" s="50"/>
      <c r="S439" s="50"/>
      <c r="T439" s="50"/>
      <c r="U439" s="50"/>
      <c r="V439" s="50"/>
      <c r="W439" s="50"/>
      <c r="X439" s="50"/>
      <c r="Y439" s="50"/>
      <c r="Z439" s="50"/>
      <c r="AA439" s="50"/>
      <c r="AB439" s="50"/>
      <c r="AC439" s="50"/>
    </row>
    <row r="440">
      <c r="A440" s="48" t="s">
        <v>2648</v>
      </c>
      <c r="B440" s="49" t="s">
        <v>3164</v>
      </c>
      <c r="C440" s="48" t="s">
        <v>3165</v>
      </c>
      <c r="D440" s="50" t="str">
        <f>IFERROR(__xludf.DUMMYFUNCTION("""COMPUTED_VALUE"""),"Colorette")</f>
        <v>Colorette</v>
      </c>
      <c r="E440" s="50"/>
      <c r="F440" s="50" t="s">
        <v>3165</v>
      </c>
      <c r="G440" s="50" t="s">
        <v>3165</v>
      </c>
      <c r="H440" s="50" t="s">
        <v>1710</v>
      </c>
      <c r="I440" s="50"/>
      <c r="J440" s="50" t="s">
        <v>2944</v>
      </c>
      <c r="K440" s="50"/>
      <c r="L440" s="50"/>
      <c r="M440" s="50"/>
      <c r="N440" s="50"/>
      <c r="O440" s="50"/>
      <c r="P440" s="50"/>
      <c r="Q440" s="50"/>
      <c r="R440" s="50"/>
      <c r="S440" s="50"/>
      <c r="T440" s="50"/>
      <c r="U440" s="50"/>
      <c r="V440" s="50"/>
      <c r="W440" s="50"/>
      <c r="X440" s="50"/>
      <c r="Y440" s="50"/>
      <c r="Z440" s="50"/>
      <c r="AA440" s="50"/>
      <c r="AB440" s="50"/>
      <c r="AC440" s="50"/>
    </row>
    <row r="441">
      <c r="A441" s="48" t="s">
        <v>2648</v>
      </c>
      <c r="B441" s="49" t="s">
        <v>3166</v>
      </c>
      <c r="C441" s="48" t="s">
        <v>3167</v>
      </c>
      <c r="D441" s="50" t="str">
        <f>IFERROR(__xludf.DUMMYFUNCTION("""COMPUTED_VALUE"""),"Hernandez")</f>
        <v>Hernandez</v>
      </c>
      <c r="E441" s="50"/>
      <c r="F441" s="50" t="s">
        <v>3167</v>
      </c>
      <c r="G441" s="50" t="s">
        <v>3167</v>
      </c>
      <c r="H441" s="50" t="s">
        <v>1710</v>
      </c>
      <c r="I441" s="50"/>
      <c r="J441" s="50" t="s">
        <v>2944</v>
      </c>
      <c r="K441" s="50"/>
      <c r="L441" s="50"/>
      <c r="M441" s="50"/>
      <c r="N441" s="50"/>
      <c r="O441" s="50"/>
      <c r="P441" s="50"/>
      <c r="Q441" s="50"/>
      <c r="R441" s="50"/>
      <c r="S441" s="50"/>
      <c r="T441" s="50"/>
      <c r="U441" s="50"/>
      <c r="V441" s="50"/>
      <c r="W441" s="50"/>
      <c r="X441" s="50"/>
      <c r="Y441" s="50"/>
      <c r="Z441" s="50"/>
      <c r="AA441" s="50"/>
      <c r="AB441" s="50"/>
      <c r="AC441" s="50"/>
    </row>
    <row r="442">
      <c r="A442" s="48" t="s">
        <v>2648</v>
      </c>
      <c r="B442" s="49" t="s">
        <v>3168</v>
      </c>
      <c r="C442" s="48" t="s">
        <v>3169</v>
      </c>
      <c r="D442" s="50" t="str">
        <f>IFERROR(__xludf.DUMMYFUNCTION("""COMPUTED_VALUE"""),"Porto Rico")</f>
        <v>Porto Rico</v>
      </c>
      <c r="E442" s="50"/>
      <c r="F442" s="50" t="s">
        <v>3170</v>
      </c>
      <c r="G442" s="50" t="s">
        <v>3170</v>
      </c>
      <c r="H442" s="50" t="s">
        <v>1710</v>
      </c>
      <c r="I442" s="50"/>
      <c r="J442" s="50" t="s">
        <v>2944</v>
      </c>
      <c r="K442" s="50"/>
      <c r="L442" s="50"/>
      <c r="M442" s="50"/>
      <c r="N442" s="50"/>
      <c r="O442" s="50"/>
      <c r="P442" s="50"/>
      <c r="Q442" s="50"/>
      <c r="R442" s="50"/>
      <c r="S442" s="50"/>
      <c r="T442" s="50"/>
      <c r="U442" s="50"/>
      <c r="V442" s="50"/>
      <c r="W442" s="50"/>
      <c r="X442" s="50"/>
      <c r="Y442" s="50"/>
      <c r="Z442" s="50"/>
      <c r="AA442" s="50"/>
      <c r="AB442" s="50"/>
      <c r="AC442" s="50"/>
    </row>
    <row r="443">
      <c r="A443" s="48" t="s">
        <v>2648</v>
      </c>
      <c r="B443" s="49" t="s">
        <v>3171</v>
      </c>
      <c r="C443" s="48" t="s">
        <v>3172</v>
      </c>
      <c r="D443" s="50" t="str">
        <f>IFERROR(__xludf.DUMMYFUNCTION("""COMPUTED_VALUE"""),"Tainung")</f>
        <v>Tainung</v>
      </c>
      <c r="E443" s="50"/>
      <c r="F443" s="50" t="s">
        <v>3172</v>
      </c>
      <c r="G443" s="50" t="s">
        <v>3172</v>
      </c>
      <c r="H443" s="50" t="s">
        <v>1710</v>
      </c>
      <c r="I443" s="50"/>
      <c r="J443" s="50" t="s">
        <v>2944</v>
      </c>
      <c r="K443" s="50"/>
      <c r="L443" s="50"/>
      <c r="M443" s="50"/>
      <c r="N443" s="50"/>
      <c r="O443" s="50"/>
      <c r="P443" s="50"/>
      <c r="Q443" s="50"/>
      <c r="R443" s="50"/>
      <c r="S443" s="50"/>
      <c r="T443" s="50"/>
      <c r="U443" s="50"/>
      <c r="V443" s="50"/>
      <c r="W443" s="50"/>
      <c r="X443" s="50"/>
      <c r="Y443" s="50"/>
      <c r="Z443" s="50"/>
      <c r="AA443" s="50"/>
      <c r="AB443" s="50"/>
      <c r="AC443" s="50"/>
    </row>
    <row r="444">
      <c r="A444" s="48" t="s">
        <v>2648</v>
      </c>
      <c r="B444" s="49" t="s">
        <v>3173</v>
      </c>
      <c r="C444" s="48" t="s">
        <v>3174</v>
      </c>
      <c r="D444" s="50" t="str">
        <f>IFERROR(__xludf.DUMMYFUNCTION("""COMPUTED_VALUE"""),"Topaze")</f>
        <v>Topaze</v>
      </c>
      <c r="E444" s="50"/>
      <c r="F444" s="50" t="s">
        <v>3175</v>
      </c>
      <c r="G444" s="50" t="s">
        <v>3175</v>
      </c>
      <c r="H444" s="50" t="s">
        <v>1710</v>
      </c>
      <c r="I444" s="50"/>
      <c r="J444" s="50" t="s">
        <v>2944</v>
      </c>
      <c r="K444" s="50"/>
      <c r="L444" s="50"/>
      <c r="M444" s="50"/>
      <c r="N444" s="50"/>
      <c r="O444" s="50"/>
      <c r="P444" s="50"/>
      <c r="Q444" s="50"/>
      <c r="R444" s="50"/>
      <c r="S444" s="50"/>
      <c r="T444" s="50"/>
      <c r="U444" s="50"/>
      <c r="V444" s="50"/>
      <c r="W444" s="50"/>
      <c r="X444" s="50"/>
      <c r="Y444" s="50"/>
      <c r="Z444" s="50"/>
      <c r="AA444" s="50"/>
      <c r="AB444" s="50"/>
      <c r="AC444" s="50"/>
    </row>
    <row r="445">
      <c r="A445" s="48" t="s">
        <v>2648</v>
      </c>
      <c r="B445" s="49" t="s">
        <v>3176</v>
      </c>
      <c r="C445" s="48" t="s">
        <v>3177</v>
      </c>
      <c r="D445" s="50" t="str">
        <f>IFERROR(__xludf.DUMMYFUNCTION("""COMPUTED_VALUE"""),"Peintre")</f>
        <v>Peintre</v>
      </c>
      <c r="E445" s="50"/>
      <c r="F445" s="50" t="s">
        <v>3178</v>
      </c>
      <c r="G445" s="50" t="s">
        <v>3178</v>
      </c>
      <c r="H445" s="50" t="s">
        <v>1710</v>
      </c>
      <c r="I445" s="50"/>
      <c r="J445" s="50" t="s">
        <v>2672</v>
      </c>
      <c r="K445" s="50"/>
      <c r="L445" s="50"/>
      <c r="M445" s="50"/>
      <c r="N445" s="50"/>
      <c r="O445" s="50"/>
      <c r="P445" s="50"/>
      <c r="Q445" s="50"/>
      <c r="R445" s="50"/>
      <c r="S445" s="50"/>
      <c r="T445" s="50"/>
      <c r="U445" s="50"/>
      <c r="V445" s="50"/>
      <c r="W445" s="50"/>
      <c r="X445" s="50"/>
      <c r="Y445" s="50"/>
      <c r="Z445" s="50"/>
      <c r="AA445" s="50"/>
      <c r="AB445" s="50"/>
      <c r="AC445" s="50"/>
    </row>
    <row r="446">
      <c r="A446" s="48" t="s">
        <v>2648</v>
      </c>
      <c r="B446" s="49" t="s">
        <v>3179</v>
      </c>
      <c r="C446" s="48" t="s">
        <v>3180</v>
      </c>
      <c r="D446" s="50" t="str">
        <f>IFERROR(__xludf.DUMMYFUNCTION("""COMPUTED_VALUE"""),"Dinde Brune")</f>
        <v>Dinde Brune</v>
      </c>
      <c r="E446" s="50"/>
      <c r="F446" s="50" t="s">
        <v>3181</v>
      </c>
      <c r="G446" s="50" t="s">
        <v>3181</v>
      </c>
      <c r="H446" s="50" t="s">
        <v>1710</v>
      </c>
      <c r="I446" s="50"/>
      <c r="J446" s="50" t="s">
        <v>2907</v>
      </c>
      <c r="K446" s="50"/>
      <c r="L446" s="50"/>
      <c r="M446" s="50"/>
      <c r="N446" s="50"/>
      <c r="O446" s="50"/>
      <c r="P446" s="50"/>
      <c r="Q446" s="50"/>
      <c r="R446" s="50"/>
      <c r="S446" s="50"/>
      <c r="T446" s="50"/>
      <c r="U446" s="50"/>
      <c r="V446" s="50"/>
      <c r="W446" s="50"/>
      <c r="X446" s="50"/>
      <c r="Y446" s="50"/>
      <c r="Z446" s="50"/>
      <c r="AA446" s="50"/>
      <c r="AB446" s="50"/>
      <c r="AC446" s="50"/>
    </row>
    <row r="447">
      <c r="A447" s="48" t="s">
        <v>2648</v>
      </c>
      <c r="B447" s="49" t="s">
        <v>3182</v>
      </c>
      <c r="C447" s="48" t="s">
        <v>3183</v>
      </c>
      <c r="D447" s="50" t="str">
        <f>IFERROR(__xludf.DUMMYFUNCTION("""COMPUTED_VALUE"""),"Bœuf")</f>
        <v>Bœuf</v>
      </c>
      <c r="E447" s="50"/>
      <c r="F447" s="50" t="s">
        <v>3183</v>
      </c>
      <c r="G447" s="50" t="s">
        <v>3183</v>
      </c>
      <c r="H447" s="50" t="s">
        <v>1710</v>
      </c>
      <c r="I447" s="50"/>
      <c r="J447" s="50" t="s">
        <v>2974</v>
      </c>
      <c r="K447" s="50"/>
      <c r="L447" s="50"/>
      <c r="M447" s="50"/>
      <c r="N447" s="50"/>
      <c r="O447" s="50"/>
      <c r="P447" s="50"/>
      <c r="Q447" s="50"/>
      <c r="R447" s="50"/>
      <c r="S447" s="50"/>
      <c r="T447" s="50"/>
      <c r="U447" s="50"/>
      <c r="V447" s="50"/>
      <c r="W447" s="50"/>
      <c r="X447" s="50"/>
      <c r="Y447" s="50"/>
      <c r="Z447" s="50"/>
      <c r="AA447" s="50"/>
      <c r="AB447" s="50"/>
      <c r="AC447" s="50"/>
    </row>
    <row r="448">
      <c r="A448" s="48"/>
      <c r="B448" s="49"/>
      <c r="C448" s="48"/>
      <c r="D448" s="50" t="str">
        <f>IFERROR(__xludf.DUMMYFUNCTION("""COMPUTED_VALUE"""),"")</f>
        <v/>
      </c>
      <c r="E448" s="50"/>
      <c r="F448" s="50"/>
      <c r="G448" s="50"/>
      <c r="H448" s="50" t="s">
        <v>1710</v>
      </c>
      <c r="I448" s="50"/>
      <c r="J448" s="50"/>
      <c r="K448" s="50"/>
      <c r="L448" s="50"/>
      <c r="M448" s="50"/>
      <c r="N448" s="50"/>
      <c r="O448" s="50"/>
      <c r="P448" s="50"/>
      <c r="Q448" s="50"/>
      <c r="R448" s="50"/>
      <c r="S448" s="50"/>
      <c r="T448" s="50"/>
      <c r="U448" s="50"/>
      <c r="V448" s="50"/>
      <c r="W448" s="50"/>
      <c r="X448" s="50"/>
      <c r="Y448" s="50"/>
      <c r="Z448" s="50"/>
      <c r="AA448" s="50"/>
      <c r="AB448" s="50"/>
      <c r="AC448" s="50"/>
    </row>
    <row r="449">
      <c r="A449" s="48"/>
      <c r="B449" s="49"/>
      <c r="C449" s="48"/>
      <c r="D449" s="50" t="str">
        <f>IFERROR(__xludf.DUMMYFUNCTION("""COMPUTED_VALUE"""),"")</f>
        <v/>
      </c>
      <c r="E449" s="50"/>
      <c r="F449" s="50"/>
      <c r="G449" s="50"/>
      <c r="H449" s="50" t="s">
        <v>1710</v>
      </c>
      <c r="I449" s="50"/>
      <c r="J449" s="50"/>
      <c r="K449" s="50"/>
      <c r="L449" s="50"/>
      <c r="M449" s="50"/>
      <c r="N449" s="50"/>
      <c r="O449" s="50"/>
      <c r="P449" s="50"/>
      <c r="Q449" s="50"/>
      <c r="R449" s="50"/>
      <c r="S449" s="50"/>
      <c r="T449" s="50"/>
      <c r="U449" s="50"/>
      <c r="V449" s="50"/>
      <c r="W449" s="50"/>
      <c r="X449" s="50"/>
      <c r="Y449" s="50"/>
      <c r="Z449" s="50"/>
      <c r="AA449" s="50"/>
      <c r="AB449" s="50"/>
      <c r="AC449" s="50"/>
    </row>
    <row r="450">
      <c r="A450" s="48"/>
      <c r="B450" s="49"/>
      <c r="C450" s="48"/>
      <c r="D450" s="50" t="str">
        <f>IFERROR(__xludf.DUMMYFUNCTION("""COMPUTED_VALUE"""),"")</f>
        <v/>
      </c>
      <c r="E450" s="50"/>
      <c r="F450" s="50"/>
      <c r="G450" s="50"/>
      <c r="H450" s="50" t="s">
        <v>1710</v>
      </c>
      <c r="I450" s="50"/>
      <c r="J450" s="50"/>
      <c r="K450" s="50"/>
      <c r="L450" s="50"/>
      <c r="M450" s="50"/>
      <c r="N450" s="50"/>
      <c r="O450" s="50"/>
      <c r="P450" s="50"/>
      <c r="Q450" s="50"/>
      <c r="R450" s="50"/>
      <c r="S450" s="50"/>
      <c r="T450" s="50"/>
      <c r="U450" s="50"/>
      <c r="V450" s="50"/>
      <c r="W450" s="50"/>
      <c r="X450" s="50"/>
      <c r="Y450" s="50"/>
      <c r="Z450" s="50"/>
      <c r="AA450" s="50"/>
      <c r="AB450" s="50"/>
      <c r="AC450" s="50"/>
    </row>
    <row r="451">
      <c r="A451" s="48"/>
      <c r="B451" s="49"/>
      <c r="C451" s="48"/>
      <c r="D451" s="50" t="str">
        <f>IFERROR(__xludf.DUMMYFUNCTION("""COMPUTED_VALUE"""),"")</f>
        <v/>
      </c>
      <c r="E451" s="50"/>
      <c r="F451" s="50"/>
      <c r="G451" s="50"/>
      <c r="H451" s="50" t="s">
        <v>1710</v>
      </c>
      <c r="I451" s="50"/>
      <c r="J451" s="50"/>
      <c r="K451" s="50"/>
      <c r="L451" s="50"/>
      <c r="M451" s="50"/>
      <c r="N451" s="50"/>
      <c r="O451" s="50"/>
      <c r="P451" s="50"/>
      <c r="Q451" s="50"/>
      <c r="R451" s="50"/>
      <c r="S451" s="50"/>
      <c r="T451" s="50"/>
      <c r="U451" s="50"/>
      <c r="V451" s="50"/>
      <c r="W451" s="50"/>
      <c r="X451" s="50"/>
      <c r="Y451" s="50"/>
      <c r="Z451" s="50"/>
      <c r="AA451" s="50"/>
      <c r="AB451" s="50"/>
      <c r="AC451" s="50"/>
    </row>
    <row r="452">
      <c r="A452" s="48"/>
      <c r="B452" s="49"/>
      <c r="C452" s="48"/>
      <c r="D452" s="50" t="str">
        <f>IFERROR(__xludf.DUMMYFUNCTION("""COMPUTED_VALUE"""),"")</f>
        <v/>
      </c>
      <c r="E452" s="50"/>
      <c r="F452" s="50"/>
      <c r="G452" s="50"/>
      <c r="H452" s="50" t="s">
        <v>1710</v>
      </c>
      <c r="I452" s="50"/>
      <c r="J452" s="50"/>
      <c r="K452" s="50"/>
      <c r="L452" s="50"/>
      <c r="M452" s="50"/>
      <c r="N452" s="50"/>
      <c r="O452" s="50"/>
      <c r="P452" s="50"/>
      <c r="Q452" s="50"/>
      <c r="R452" s="50"/>
      <c r="S452" s="50"/>
      <c r="T452" s="50"/>
      <c r="U452" s="50"/>
      <c r="V452" s="50"/>
      <c r="W452" s="50"/>
      <c r="X452" s="50"/>
      <c r="Y452" s="50"/>
      <c r="Z452" s="50"/>
      <c r="AA452" s="50"/>
      <c r="AB452" s="50"/>
      <c r="AC452" s="50"/>
    </row>
    <row r="453">
      <c r="A453" s="48"/>
      <c r="B453" s="49"/>
      <c r="C453" s="48"/>
      <c r="D453" s="50" t="str">
        <f>IFERROR(__xludf.DUMMYFUNCTION("""COMPUTED_VALUE"""),"")</f>
        <v/>
      </c>
      <c r="E453" s="50"/>
      <c r="F453" s="50"/>
      <c r="G453" s="50"/>
      <c r="H453" s="50" t="s">
        <v>1710</v>
      </c>
      <c r="I453" s="50"/>
      <c r="J453" s="50"/>
      <c r="K453" s="50"/>
      <c r="L453" s="50"/>
      <c r="M453" s="50"/>
      <c r="N453" s="50"/>
      <c r="O453" s="50"/>
      <c r="P453" s="50"/>
      <c r="Q453" s="50"/>
      <c r="R453" s="50"/>
      <c r="S453" s="50"/>
      <c r="T453" s="50"/>
      <c r="U453" s="50"/>
      <c r="V453" s="50"/>
      <c r="W453" s="50"/>
      <c r="X453" s="50"/>
      <c r="Y453" s="50"/>
      <c r="Z453" s="50"/>
      <c r="AA453" s="50"/>
      <c r="AB453" s="50"/>
      <c r="AC453" s="50"/>
    </row>
    <row r="454">
      <c r="A454" s="48" t="s">
        <v>2648</v>
      </c>
      <c r="B454" s="49" t="s">
        <v>3184</v>
      </c>
      <c r="C454" s="48" t="s">
        <v>3185</v>
      </c>
      <c r="D454" s="50" t="str">
        <f>IFERROR(__xludf.DUMMYFUNCTION("""COMPUTED_VALUE"""),"Semis")</f>
        <v>Semis</v>
      </c>
      <c r="E454" s="50"/>
      <c r="F454" s="50" t="s">
        <v>3186</v>
      </c>
      <c r="G454" s="50" t="s">
        <v>3186</v>
      </c>
      <c r="H454" s="50" t="s">
        <v>1710</v>
      </c>
      <c r="I454" s="50"/>
      <c r="J454" s="50"/>
      <c r="K454" s="50"/>
      <c r="L454" s="50"/>
      <c r="M454" s="50"/>
      <c r="N454" s="50"/>
      <c r="O454" s="50"/>
      <c r="P454" s="50"/>
      <c r="Q454" s="50"/>
      <c r="R454" s="50"/>
      <c r="S454" s="50"/>
      <c r="T454" s="50"/>
      <c r="U454" s="50"/>
      <c r="V454" s="50"/>
      <c r="W454" s="50"/>
      <c r="X454" s="50"/>
      <c r="Y454" s="50"/>
      <c r="Z454" s="50"/>
      <c r="AA454" s="50"/>
      <c r="AB454" s="50"/>
      <c r="AC454" s="50"/>
    </row>
    <row r="455">
      <c r="A455" s="48" t="s">
        <v>2648</v>
      </c>
      <c r="B455" s="49" t="s">
        <v>3187</v>
      </c>
      <c r="C455" s="48" t="s">
        <v>3188</v>
      </c>
      <c r="D455" s="50" t="str">
        <f>IFERROR(__xludf.DUMMYFUNCTION("""COMPUTED_VALUE"""),"Elly")</f>
        <v>Elly</v>
      </c>
      <c r="E455" s="50"/>
      <c r="F455" s="50" t="s">
        <v>3188</v>
      </c>
      <c r="G455" s="50" t="s">
        <v>3188</v>
      </c>
      <c r="H455" s="50" t="s">
        <v>1710</v>
      </c>
      <c r="I455" s="50"/>
      <c r="J455" s="50" t="s">
        <v>3189</v>
      </c>
      <c r="K455" s="50"/>
      <c r="L455" s="50"/>
      <c r="M455" s="50"/>
      <c r="N455" s="50"/>
      <c r="O455" s="50"/>
      <c r="P455" s="50"/>
      <c r="Q455" s="50"/>
      <c r="R455" s="50"/>
      <c r="S455" s="50"/>
      <c r="T455" s="50"/>
      <c r="U455" s="50"/>
      <c r="V455" s="50"/>
      <c r="W455" s="50"/>
      <c r="X455" s="50"/>
      <c r="Y455" s="50"/>
      <c r="Z455" s="50"/>
      <c r="AA455" s="50"/>
      <c r="AB455" s="50"/>
      <c r="AC455" s="50"/>
    </row>
    <row r="456">
      <c r="A456" s="48" t="s">
        <v>2648</v>
      </c>
      <c r="B456" s="49" t="s">
        <v>3190</v>
      </c>
      <c r="C456" s="48" t="s">
        <v>3191</v>
      </c>
      <c r="D456" s="50" t="str">
        <f>IFERROR(__xludf.DUMMYFUNCTION("""COMPUTED_VALUE"""),"Fierté Africaine")</f>
        <v>Fierté Africaine</v>
      </c>
      <c r="E456" s="50"/>
      <c r="F456" s="50" t="s">
        <v>3191</v>
      </c>
      <c r="G456" s="50" t="s">
        <v>3191</v>
      </c>
      <c r="H456" s="50" t="s">
        <v>1710</v>
      </c>
      <c r="I456" s="50"/>
      <c r="J456" s="50" t="s">
        <v>3189</v>
      </c>
      <c r="K456" s="50"/>
      <c r="L456" s="50"/>
      <c r="M456" s="50"/>
      <c r="N456" s="50"/>
      <c r="O456" s="50"/>
      <c r="P456" s="50"/>
      <c r="Q456" s="50"/>
      <c r="R456" s="50"/>
      <c r="S456" s="50"/>
      <c r="T456" s="50"/>
      <c r="U456" s="50"/>
      <c r="V456" s="50"/>
      <c r="W456" s="50"/>
      <c r="X456" s="50"/>
      <c r="Y456" s="50"/>
      <c r="Z456" s="50"/>
      <c r="AA456" s="50"/>
      <c r="AB456" s="50"/>
      <c r="AC456" s="50"/>
    </row>
    <row r="457">
      <c r="A457" s="48" t="s">
        <v>2648</v>
      </c>
      <c r="B457" s="49" t="s">
        <v>3192</v>
      </c>
      <c r="C457" s="48" t="s">
        <v>3192</v>
      </c>
      <c r="D457" s="50" t="str">
        <f>IFERROR(__xludf.DUMMYFUNCTION("""COMPUTED_VALUE"""),"Amarillo")</f>
        <v>Amarillo</v>
      </c>
      <c r="E457" s="50"/>
      <c r="F457" s="50" t="s">
        <v>3192</v>
      </c>
      <c r="G457" s="50" t="s">
        <v>3192</v>
      </c>
      <c r="H457" s="50" t="s">
        <v>1710</v>
      </c>
      <c r="I457" s="50"/>
      <c r="J457" s="50" t="s">
        <v>2705</v>
      </c>
      <c r="K457" s="50"/>
      <c r="L457" s="50"/>
      <c r="M457" s="50"/>
      <c r="N457" s="50"/>
      <c r="O457" s="50"/>
      <c r="P457" s="50"/>
      <c r="Q457" s="50"/>
      <c r="R457" s="50"/>
      <c r="S457" s="50"/>
      <c r="T457" s="50"/>
      <c r="U457" s="50"/>
      <c r="V457" s="50"/>
      <c r="W457" s="50"/>
      <c r="X457" s="50"/>
      <c r="Y457" s="50"/>
      <c r="Z457" s="50"/>
      <c r="AA457" s="50"/>
      <c r="AB457" s="50"/>
      <c r="AC457" s="50"/>
    </row>
    <row r="458">
      <c r="A458" s="48" t="s">
        <v>2648</v>
      </c>
      <c r="B458" s="49" t="s">
        <v>3193</v>
      </c>
      <c r="C458" s="48" t="s">
        <v>3194</v>
      </c>
      <c r="D458" s="50" t="str">
        <f>IFERROR(__xludf.DUMMYFUNCTION("""COMPUTED_VALUE"""),"Pi 497574")</f>
        <v>Pi 497574</v>
      </c>
      <c r="E458" s="50"/>
      <c r="F458" s="50" t="s">
        <v>3194</v>
      </c>
      <c r="G458" s="50" t="s">
        <v>3194</v>
      </c>
      <c r="H458" s="50" t="s">
        <v>1710</v>
      </c>
      <c r="I458" s="50"/>
      <c r="J458" s="50" t="s">
        <v>2705</v>
      </c>
      <c r="K458" s="50"/>
      <c r="L458" s="50"/>
      <c r="M458" s="50"/>
      <c r="N458" s="50"/>
      <c r="O458" s="50"/>
      <c r="P458" s="50"/>
      <c r="Q458" s="50"/>
      <c r="R458" s="50"/>
      <c r="S458" s="50"/>
      <c r="T458" s="50"/>
      <c r="U458" s="50"/>
      <c r="V458" s="50"/>
      <c r="W458" s="50"/>
      <c r="X458" s="50"/>
      <c r="Y458" s="50"/>
      <c r="Z458" s="50"/>
      <c r="AA458" s="50"/>
      <c r="AB458" s="50"/>
      <c r="AC458" s="50"/>
    </row>
    <row r="459">
      <c r="A459" s="48" t="s">
        <v>2648</v>
      </c>
      <c r="B459" s="49" t="s">
        <v>3195</v>
      </c>
      <c r="C459" s="48" t="s">
        <v>3196</v>
      </c>
      <c r="D459" s="50" t="str">
        <f>IFERROR(__xludf.DUMMYFUNCTION("""COMPUTED_VALUE"""),"Pi 604801")</f>
        <v>Pi 604801</v>
      </c>
      <c r="E459" s="50"/>
      <c r="F459" s="50" t="s">
        <v>3196</v>
      </c>
      <c r="G459" s="50" t="s">
        <v>3196</v>
      </c>
      <c r="H459" s="50" t="s">
        <v>1710</v>
      </c>
      <c r="I459" s="50"/>
      <c r="J459" s="50" t="s">
        <v>2705</v>
      </c>
      <c r="K459" s="50"/>
      <c r="L459" s="50"/>
      <c r="M459" s="50"/>
      <c r="N459" s="50"/>
      <c r="O459" s="50"/>
      <c r="P459" s="50"/>
      <c r="Q459" s="50"/>
      <c r="R459" s="50"/>
      <c r="S459" s="50"/>
      <c r="T459" s="50"/>
      <c r="U459" s="50"/>
      <c r="V459" s="50"/>
      <c r="W459" s="50"/>
      <c r="X459" s="50"/>
      <c r="Y459" s="50"/>
      <c r="Z459" s="50"/>
      <c r="AA459" s="50"/>
      <c r="AB459" s="50"/>
      <c r="AC459" s="50"/>
    </row>
    <row r="460">
      <c r="A460" s="48" t="s">
        <v>2648</v>
      </c>
      <c r="B460" s="49" t="s">
        <v>3197</v>
      </c>
      <c r="C460" s="48" t="s">
        <v>3198</v>
      </c>
      <c r="D460" s="50" t="str">
        <f>IFERROR(__xludf.DUMMYFUNCTION("""COMPUTED_VALUE"""),"Pi 604803")</f>
        <v>Pi 604803</v>
      </c>
      <c r="E460" s="50"/>
      <c r="F460" s="50" t="s">
        <v>3198</v>
      </c>
      <c r="G460" s="50" t="s">
        <v>3198</v>
      </c>
      <c r="H460" s="50" t="s">
        <v>1710</v>
      </c>
      <c r="I460" s="50"/>
      <c r="J460" s="50" t="s">
        <v>2705</v>
      </c>
      <c r="K460" s="50"/>
      <c r="L460" s="50"/>
      <c r="M460" s="50"/>
      <c r="N460" s="50"/>
      <c r="O460" s="50"/>
      <c r="P460" s="50"/>
      <c r="Q460" s="50"/>
      <c r="R460" s="50"/>
      <c r="S460" s="50"/>
      <c r="T460" s="50"/>
      <c r="U460" s="50"/>
      <c r="V460" s="50"/>
      <c r="W460" s="50"/>
      <c r="X460" s="50"/>
      <c r="Y460" s="50"/>
      <c r="Z460" s="50"/>
      <c r="AA460" s="50"/>
      <c r="AB460" s="50"/>
      <c r="AC460" s="50"/>
    </row>
    <row r="461">
      <c r="A461" s="48" t="s">
        <v>2648</v>
      </c>
      <c r="B461" s="49" t="s">
        <v>3199</v>
      </c>
      <c r="C461" s="48" t="s">
        <v>3200</v>
      </c>
      <c r="D461" s="50" t="str">
        <f>IFERROR(__xludf.DUMMYFUNCTION("""COMPUTED_VALUE"""),"Pi 604804")</f>
        <v>Pi 604804</v>
      </c>
      <c r="E461" s="50"/>
      <c r="F461" s="50" t="s">
        <v>3200</v>
      </c>
      <c r="G461" s="50" t="s">
        <v>3200</v>
      </c>
      <c r="H461" s="50" t="s">
        <v>1710</v>
      </c>
      <c r="I461" s="50"/>
      <c r="J461" s="50" t="s">
        <v>2705</v>
      </c>
      <c r="K461" s="50"/>
      <c r="L461" s="50"/>
      <c r="M461" s="50"/>
      <c r="N461" s="50"/>
      <c r="O461" s="50"/>
      <c r="P461" s="50"/>
      <c r="Q461" s="50"/>
      <c r="R461" s="50"/>
      <c r="S461" s="50"/>
      <c r="T461" s="50"/>
      <c r="U461" s="50"/>
      <c r="V461" s="50"/>
      <c r="W461" s="50"/>
      <c r="X461" s="50"/>
      <c r="Y461" s="50"/>
      <c r="Z461" s="50"/>
      <c r="AA461" s="50"/>
      <c r="AB461" s="50"/>
      <c r="AC461" s="50"/>
    </row>
    <row r="462">
      <c r="A462" s="48" t="s">
        <v>2648</v>
      </c>
      <c r="B462" s="49" t="s">
        <v>3201</v>
      </c>
      <c r="C462" s="48" t="s">
        <v>3202</v>
      </c>
      <c r="D462" s="50" t="str">
        <f>IFERROR(__xludf.DUMMYFUNCTION("""COMPUTED_VALUE"""),"Pi 604805")</f>
        <v>Pi 604805</v>
      </c>
      <c r="E462" s="50"/>
      <c r="F462" s="50" t="s">
        <v>3202</v>
      </c>
      <c r="G462" s="50" t="s">
        <v>3202</v>
      </c>
      <c r="H462" s="50" t="s">
        <v>1710</v>
      </c>
      <c r="I462" s="50"/>
      <c r="J462" s="50" t="s">
        <v>2705</v>
      </c>
      <c r="K462" s="50"/>
      <c r="L462" s="50"/>
      <c r="M462" s="50"/>
      <c r="N462" s="50"/>
      <c r="O462" s="50"/>
      <c r="P462" s="50"/>
      <c r="Q462" s="50"/>
      <c r="R462" s="50"/>
      <c r="S462" s="50"/>
      <c r="T462" s="50"/>
      <c r="U462" s="50"/>
      <c r="V462" s="50"/>
      <c r="W462" s="50"/>
      <c r="X462" s="50"/>
      <c r="Y462" s="50"/>
      <c r="Z462" s="50"/>
      <c r="AA462" s="50"/>
      <c r="AB462" s="50"/>
      <c r="AC462" s="50"/>
    </row>
    <row r="463">
      <c r="A463" s="48" t="s">
        <v>2648</v>
      </c>
      <c r="B463" s="49" t="s">
        <v>3203</v>
      </c>
      <c r="C463" s="48" t="s">
        <v>3204</v>
      </c>
      <c r="D463" s="50" t="str">
        <f>IFERROR(__xludf.DUMMYFUNCTION("""COMPUTED_VALUE"""),"Pi 604806")</f>
        <v>Pi 604806</v>
      </c>
      <c r="E463" s="50"/>
      <c r="F463" s="50" t="s">
        <v>3204</v>
      </c>
      <c r="G463" s="50" t="s">
        <v>3204</v>
      </c>
      <c r="H463" s="50" t="s">
        <v>1710</v>
      </c>
      <c r="I463" s="50"/>
      <c r="J463" s="50" t="s">
        <v>2705</v>
      </c>
      <c r="K463" s="50"/>
      <c r="L463" s="50"/>
      <c r="M463" s="50"/>
      <c r="N463" s="50"/>
      <c r="O463" s="50"/>
      <c r="P463" s="50"/>
      <c r="Q463" s="50"/>
      <c r="R463" s="50"/>
      <c r="S463" s="50"/>
      <c r="T463" s="50"/>
      <c r="U463" s="50"/>
      <c r="V463" s="50"/>
      <c r="W463" s="50"/>
      <c r="X463" s="50"/>
      <c r="Y463" s="50"/>
      <c r="Z463" s="50"/>
      <c r="AA463" s="50"/>
      <c r="AB463" s="50"/>
      <c r="AC463" s="50"/>
    </row>
    <row r="464">
      <c r="A464" s="48" t="s">
        <v>2648</v>
      </c>
      <c r="B464" s="49" t="s">
        <v>3205</v>
      </c>
      <c r="C464" s="48" t="s">
        <v>3206</v>
      </c>
      <c r="D464" s="50" t="str">
        <f>IFERROR(__xludf.DUMMYFUNCTION("""COMPUTED_VALUE"""),"Pi 604807")</f>
        <v>Pi 604807</v>
      </c>
      <c r="E464" s="50"/>
      <c r="F464" s="50" t="s">
        <v>3206</v>
      </c>
      <c r="G464" s="50" t="s">
        <v>3206</v>
      </c>
      <c r="H464" s="50" t="s">
        <v>1710</v>
      </c>
      <c r="I464" s="50"/>
      <c r="J464" s="50" t="s">
        <v>2705</v>
      </c>
      <c r="K464" s="50"/>
      <c r="L464" s="50"/>
      <c r="M464" s="50"/>
      <c r="N464" s="50"/>
      <c r="O464" s="50"/>
      <c r="P464" s="50"/>
      <c r="Q464" s="50"/>
      <c r="R464" s="50"/>
      <c r="S464" s="50"/>
      <c r="T464" s="50"/>
      <c r="U464" s="50"/>
      <c r="V464" s="50"/>
      <c r="W464" s="50"/>
      <c r="X464" s="50"/>
      <c r="Y464" s="50"/>
      <c r="Z464" s="50"/>
      <c r="AA464" s="50"/>
      <c r="AB464" s="50"/>
      <c r="AC464" s="50"/>
    </row>
    <row r="465">
      <c r="A465" s="48" t="s">
        <v>2648</v>
      </c>
      <c r="B465" s="49" t="s">
        <v>3207</v>
      </c>
      <c r="C465" s="48" t="s">
        <v>3208</v>
      </c>
      <c r="D465" s="50" t="str">
        <f>IFERROR(__xludf.DUMMYFUNCTION("""COMPUTED_VALUE"""),"Pi 604809")</f>
        <v>Pi 604809</v>
      </c>
      <c r="E465" s="50"/>
      <c r="F465" s="50" t="s">
        <v>3208</v>
      </c>
      <c r="G465" s="50" t="s">
        <v>3208</v>
      </c>
      <c r="H465" s="50" t="s">
        <v>1710</v>
      </c>
      <c r="I465" s="50"/>
      <c r="J465" s="50" t="s">
        <v>2705</v>
      </c>
      <c r="K465" s="50"/>
      <c r="L465" s="50"/>
      <c r="M465" s="50"/>
      <c r="N465" s="50"/>
      <c r="O465" s="50"/>
      <c r="P465" s="50"/>
      <c r="Q465" s="50"/>
      <c r="R465" s="50"/>
      <c r="S465" s="50"/>
      <c r="T465" s="50"/>
      <c r="U465" s="50"/>
      <c r="V465" s="50"/>
      <c r="W465" s="50"/>
      <c r="X465" s="50"/>
      <c r="Y465" s="50"/>
      <c r="Z465" s="50"/>
      <c r="AA465" s="50"/>
      <c r="AB465" s="50"/>
      <c r="AC465" s="50"/>
    </row>
    <row r="466">
      <c r="A466" s="48" t="s">
        <v>2648</v>
      </c>
      <c r="B466" s="49" t="s">
        <v>3209</v>
      </c>
      <c r="C466" s="48" t="s">
        <v>3210</v>
      </c>
      <c r="D466" s="50" t="str">
        <f>IFERROR(__xludf.DUMMYFUNCTION("""COMPUTED_VALUE"""),"Pi 604811")</f>
        <v>Pi 604811</v>
      </c>
      <c r="E466" s="50"/>
      <c r="F466" s="50" t="s">
        <v>3210</v>
      </c>
      <c r="G466" s="50" t="s">
        <v>3210</v>
      </c>
      <c r="H466" s="50" t="s">
        <v>1710</v>
      </c>
      <c r="I466" s="50"/>
      <c r="J466" s="50" t="s">
        <v>2705</v>
      </c>
      <c r="K466" s="50"/>
      <c r="L466" s="50"/>
      <c r="M466" s="50"/>
      <c r="N466" s="50"/>
      <c r="O466" s="50"/>
      <c r="P466" s="50"/>
      <c r="Q466" s="50"/>
      <c r="R466" s="50"/>
      <c r="S466" s="50"/>
      <c r="T466" s="50"/>
      <c r="U466" s="50"/>
      <c r="V466" s="50"/>
      <c r="W466" s="50"/>
      <c r="X466" s="50"/>
      <c r="Y466" s="50"/>
      <c r="Z466" s="50"/>
      <c r="AA466" s="50"/>
      <c r="AB466" s="50"/>
      <c r="AC466" s="50"/>
    </row>
    <row r="467">
      <c r="A467" s="48" t="s">
        <v>2648</v>
      </c>
      <c r="B467" s="49" t="s">
        <v>3211</v>
      </c>
      <c r="C467" s="48" t="s">
        <v>3212</v>
      </c>
      <c r="D467" s="50" t="str">
        <f>IFERROR(__xludf.DUMMYFUNCTION("""COMPUTED_VALUE"""),"Pi 604812")</f>
        <v>Pi 604812</v>
      </c>
      <c r="E467" s="50"/>
      <c r="F467" s="50" t="s">
        <v>3212</v>
      </c>
      <c r="G467" s="50" t="s">
        <v>3212</v>
      </c>
      <c r="H467" s="50" t="s">
        <v>1710</v>
      </c>
      <c r="I467" s="50"/>
      <c r="J467" s="50" t="s">
        <v>2705</v>
      </c>
      <c r="K467" s="50"/>
      <c r="L467" s="50"/>
      <c r="M467" s="50"/>
      <c r="N467" s="50"/>
      <c r="O467" s="50"/>
      <c r="P467" s="50"/>
      <c r="Q467" s="50"/>
      <c r="R467" s="50"/>
      <c r="S467" s="50"/>
      <c r="T467" s="50"/>
      <c r="U467" s="50"/>
      <c r="V467" s="50"/>
      <c r="W467" s="50"/>
      <c r="X467" s="50"/>
      <c r="Y467" s="50"/>
      <c r="Z467" s="50"/>
      <c r="AA467" s="50"/>
      <c r="AB467" s="50"/>
      <c r="AC467" s="50"/>
    </row>
    <row r="468">
      <c r="A468" s="48" t="s">
        <v>2648</v>
      </c>
      <c r="B468" s="49" t="s">
        <v>3213</v>
      </c>
      <c r="C468" s="48" t="s">
        <v>3214</v>
      </c>
      <c r="D468" s="50" t="str">
        <f>IFERROR(__xludf.DUMMYFUNCTION("""COMPUTED_VALUE"""),"Pi 604814")</f>
        <v>Pi 604814</v>
      </c>
      <c r="E468" s="50"/>
      <c r="F468" s="50" t="s">
        <v>3214</v>
      </c>
      <c r="G468" s="50" t="s">
        <v>3214</v>
      </c>
      <c r="H468" s="50" t="s">
        <v>1710</v>
      </c>
      <c r="I468" s="50"/>
      <c r="J468" s="50" t="s">
        <v>2705</v>
      </c>
      <c r="K468" s="50"/>
      <c r="L468" s="50"/>
      <c r="M468" s="50"/>
      <c r="N468" s="50"/>
      <c r="O468" s="50"/>
      <c r="P468" s="50"/>
      <c r="Q468" s="50"/>
      <c r="R468" s="50"/>
      <c r="S468" s="50"/>
      <c r="T468" s="50"/>
      <c r="U468" s="50"/>
      <c r="V468" s="50"/>
      <c r="W468" s="50"/>
      <c r="X468" s="50"/>
      <c r="Y468" s="50"/>
      <c r="Z468" s="50"/>
      <c r="AA468" s="50"/>
      <c r="AB468" s="50"/>
      <c r="AC468" s="50"/>
    </row>
    <row r="469">
      <c r="A469" s="48" t="s">
        <v>2648</v>
      </c>
      <c r="B469" s="49" t="s">
        <v>3215</v>
      </c>
      <c r="C469" s="48" t="s">
        <v>3216</v>
      </c>
      <c r="D469" s="50" t="str">
        <f>IFERROR(__xludf.DUMMYFUNCTION("""COMPUTED_VALUE"""),"Pi 604818")</f>
        <v>Pi 604818</v>
      </c>
      <c r="E469" s="50"/>
      <c r="F469" s="50" t="s">
        <v>3216</v>
      </c>
      <c r="G469" s="50" t="s">
        <v>3216</v>
      </c>
      <c r="H469" s="50" t="s">
        <v>1710</v>
      </c>
      <c r="I469" s="50"/>
      <c r="J469" s="50" t="s">
        <v>2705</v>
      </c>
      <c r="K469" s="50"/>
      <c r="L469" s="50"/>
      <c r="M469" s="50"/>
      <c r="N469" s="50"/>
      <c r="O469" s="50"/>
      <c r="P469" s="50"/>
      <c r="Q469" s="50"/>
      <c r="R469" s="50"/>
      <c r="S469" s="50"/>
      <c r="T469" s="50"/>
      <c r="U469" s="50"/>
      <c r="V469" s="50"/>
      <c r="W469" s="50"/>
      <c r="X469" s="50"/>
      <c r="Y469" s="50"/>
      <c r="Z469" s="50"/>
      <c r="AA469" s="50"/>
      <c r="AB469" s="50"/>
      <c r="AC469" s="50"/>
    </row>
    <row r="470">
      <c r="A470" s="48" t="s">
        <v>2648</v>
      </c>
      <c r="B470" s="49" t="s">
        <v>3217</v>
      </c>
      <c r="C470" s="48" t="s">
        <v>3218</v>
      </c>
      <c r="D470" s="50" t="str">
        <f>IFERROR(__xludf.DUMMYFUNCTION("""COMPUTED_VALUE"""),"Pi 604856")</f>
        <v>Pi 604856</v>
      </c>
      <c r="E470" s="50"/>
      <c r="F470" s="50" t="s">
        <v>3218</v>
      </c>
      <c r="G470" s="50" t="s">
        <v>3218</v>
      </c>
      <c r="H470" s="50" t="s">
        <v>1710</v>
      </c>
      <c r="I470" s="50"/>
      <c r="J470" s="50" t="s">
        <v>2705</v>
      </c>
      <c r="K470" s="50"/>
      <c r="L470" s="50"/>
      <c r="M470" s="50"/>
      <c r="N470" s="50"/>
      <c r="O470" s="50"/>
      <c r="P470" s="50"/>
      <c r="Q470" s="50"/>
      <c r="R470" s="50"/>
      <c r="S470" s="50"/>
      <c r="T470" s="50"/>
      <c r="U470" s="50"/>
      <c r="V470" s="50"/>
      <c r="W470" s="50"/>
      <c r="X470" s="50"/>
      <c r="Y470" s="50"/>
      <c r="Z470" s="50"/>
      <c r="AA470" s="50"/>
      <c r="AB470" s="50"/>
      <c r="AC470" s="50"/>
    </row>
    <row r="471">
      <c r="A471" s="48" t="s">
        <v>2648</v>
      </c>
      <c r="B471" s="49" t="s">
        <v>3219</v>
      </c>
      <c r="C471" s="48" t="s">
        <v>3220</v>
      </c>
      <c r="D471" s="50" t="str">
        <f>IFERROR(__xludf.DUMMYFUNCTION("""COMPUTED_VALUE"""),"Pi 604857")</f>
        <v>Pi 604857</v>
      </c>
      <c r="E471" s="50"/>
      <c r="F471" s="50" t="s">
        <v>3220</v>
      </c>
      <c r="G471" s="50" t="s">
        <v>3220</v>
      </c>
      <c r="H471" s="50" t="s">
        <v>1710</v>
      </c>
      <c r="I471" s="50"/>
      <c r="J471" s="50" t="s">
        <v>2705</v>
      </c>
      <c r="K471" s="50"/>
      <c r="L471" s="50"/>
      <c r="M471" s="50"/>
      <c r="N471" s="50"/>
      <c r="O471" s="50"/>
      <c r="P471" s="50"/>
      <c r="Q471" s="50"/>
      <c r="R471" s="50"/>
      <c r="S471" s="50"/>
      <c r="T471" s="50"/>
      <c r="U471" s="50"/>
      <c r="V471" s="50"/>
      <c r="W471" s="50"/>
      <c r="X471" s="50"/>
      <c r="Y471" s="50"/>
      <c r="Z471" s="50"/>
      <c r="AA471" s="50"/>
      <c r="AB471" s="50"/>
      <c r="AC471" s="50"/>
    </row>
    <row r="472">
      <c r="A472" s="48" t="s">
        <v>2648</v>
      </c>
      <c r="B472" s="49" t="s">
        <v>3221</v>
      </c>
      <c r="C472" s="48" t="s">
        <v>3222</v>
      </c>
      <c r="D472" s="50" t="str">
        <f>IFERROR(__xludf.DUMMYFUNCTION("""COMPUTED_VALUE"""),"Pi 686984")</f>
        <v>Pi 686984</v>
      </c>
      <c r="E472" s="50"/>
      <c r="F472" s="50" t="s">
        <v>3222</v>
      </c>
      <c r="G472" s="50" t="s">
        <v>3222</v>
      </c>
      <c r="H472" s="50" t="s">
        <v>1710</v>
      </c>
      <c r="I472" s="50"/>
      <c r="J472" s="50" t="s">
        <v>2705</v>
      </c>
      <c r="K472" s="50"/>
      <c r="L472" s="50"/>
      <c r="M472" s="50"/>
      <c r="N472" s="50"/>
      <c r="O472" s="50"/>
      <c r="P472" s="50"/>
      <c r="Q472" s="50"/>
      <c r="R472" s="50"/>
      <c r="S472" s="50"/>
      <c r="T472" s="50"/>
      <c r="U472" s="50"/>
      <c r="V472" s="50"/>
      <c r="W472" s="50"/>
      <c r="X472" s="50"/>
      <c r="Y472" s="50"/>
      <c r="Z472" s="50"/>
      <c r="AA472" s="50"/>
      <c r="AB472" s="50"/>
      <c r="AC472" s="50"/>
    </row>
    <row r="473">
      <c r="A473" s="48" t="s">
        <v>2648</v>
      </c>
      <c r="B473" s="49" t="s">
        <v>3223</v>
      </c>
      <c r="C473" s="48" t="s">
        <v>3224</v>
      </c>
      <c r="D473" s="50" t="str">
        <f>IFERROR(__xludf.DUMMYFUNCTION("""COMPUTED_VALUE"""),"Croquant À La Banane")</f>
        <v>Croquant À La Banane</v>
      </c>
      <c r="E473" s="50"/>
      <c r="F473" s="50" t="s">
        <v>3224</v>
      </c>
      <c r="G473" s="50" t="s">
        <v>3224</v>
      </c>
      <c r="H473" s="50" t="s">
        <v>1710</v>
      </c>
      <c r="I473" s="50"/>
      <c r="J473" s="50" t="s">
        <v>2709</v>
      </c>
      <c r="K473" s="50"/>
      <c r="L473" s="50"/>
      <c r="M473" s="50"/>
      <c r="N473" s="50"/>
      <c r="O473" s="50"/>
      <c r="P473" s="50"/>
      <c r="Q473" s="50"/>
      <c r="R473" s="50"/>
      <c r="S473" s="50"/>
      <c r="T473" s="50"/>
      <c r="U473" s="50"/>
      <c r="V473" s="50"/>
      <c r="W473" s="50"/>
      <c r="X473" s="50"/>
      <c r="Y473" s="50"/>
      <c r="Z473" s="50"/>
      <c r="AA473" s="50"/>
      <c r="AB473" s="50"/>
      <c r="AC473" s="50"/>
    </row>
    <row r="474">
      <c r="A474" s="48" t="s">
        <v>2648</v>
      </c>
      <c r="B474" s="49" t="s">
        <v>3225</v>
      </c>
      <c r="C474" s="48" t="s">
        <v>3226</v>
      </c>
      <c r="D474" s="50" t="str">
        <f>IFERROR(__xludf.DUMMYFUNCTION("""COMPUTED_VALUE"""),"Or Noir")</f>
        <v>Or Noir</v>
      </c>
      <c r="E474" s="50"/>
      <c r="F474" s="50" t="s">
        <v>3226</v>
      </c>
      <c r="G474" s="50" t="s">
        <v>3226</v>
      </c>
      <c r="H474" s="50" t="s">
        <v>1710</v>
      </c>
      <c r="I474" s="50"/>
      <c r="J474" s="50" t="s">
        <v>2709</v>
      </c>
      <c r="K474" s="50"/>
      <c r="L474" s="50"/>
      <c r="M474" s="50"/>
      <c r="N474" s="50"/>
      <c r="O474" s="50"/>
      <c r="P474" s="50"/>
      <c r="Q474" s="50"/>
      <c r="R474" s="50"/>
      <c r="S474" s="50"/>
      <c r="T474" s="50"/>
      <c r="U474" s="50"/>
      <c r="V474" s="50"/>
      <c r="W474" s="50"/>
      <c r="X474" s="50"/>
      <c r="Y474" s="50"/>
      <c r="Z474" s="50"/>
      <c r="AA474" s="50"/>
      <c r="AB474" s="50"/>
      <c r="AC474" s="50"/>
    </row>
    <row r="475">
      <c r="A475" s="48" t="s">
        <v>2648</v>
      </c>
      <c r="B475" s="49" t="s">
        <v>3227</v>
      </c>
      <c r="C475" s="48" t="s">
        <v>2823</v>
      </c>
      <c r="D475" s="50" t="str">
        <f>IFERROR(__xludf.DUMMYFUNCTION("""COMPUTED_VALUE"""),"Cantaloup")</f>
        <v>Cantaloup</v>
      </c>
      <c r="E475" s="50"/>
      <c r="F475" s="50" t="s">
        <v>2823</v>
      </c>
      <c r="G475" s="50" t="s">
        <v>2823</v>
      </c>
      <c r="H475" s="50" t="s">
        <v>1710</v>
      </c>
      <c r="I475" s="50"/>
      <c r="J475" s="50" t="s">
        <v>2709</v>
      </c>
      <c r="K475" s="50"/>
      <c r="L475" s="50"/>
      <c r="M475" s="50"/>
      <c r="N475" s="50"/>
      <c r="O475" s="50"/>
      <c r="P475" s="50"/>
      <c r="Q475" s="50"/>
      <c r="R475" s="50"/>
      <c r="S475" s="50"/>
      <c r="T475" s="50"/>
      <c r="U475" s="50"/>
      <c r="V475" s="50"/>
      <c r="W475" s="50"/>
      <c r="X475" s="50"/>
      <c r="Y475" s="50"/>
      <c r="Z475" s="50"/>
      <c r="AA475" s="50"/>
      <c r="AB475" s="50"/>
      <c r="AC475" s="50"/>
    </row>
    <row r="476">
      <c r="A476" s="48" t="s">
        <v>2648</v>
      </c>
      <c r="B476" s="49" t="s">
        <v>3228</v>
      </c>
      <c r="C476" s="48" t="s">
        <v>3229</v>
      </c>
      <c r="D476" s="50" t="str">
        <f>IFERROR(__xludf.DUMMYFUNCTION("""COMPUTED_VALUE"""),"Cheena")</f>
        <v>Cheena</v>
      </c>
      <c r="E476" s="50"/>
      <c r="F476" s="50" t="s">
        <v>3229</v>
      </c>
      <c r="G476" s="50" t="s">
        <v>3229</v>
      </c>
      <c r="H476" s="50" t="s">
        <v>1710</v>
      </c>
      <c r="I476" s="50"/>
      <c r="J476" s="50" t="s">
        <v>2709</v>
      </c>
      <c r="K476" s="50"/>
      <c r="L476" s="50"/>
      <c r="M476" s="50"/>
      <c r="N476" s="50"/>
      <c r="O476" s="50"/>
      <c r="P476" s="50"/>
      <c r="Q476" s="50"/>
      <c r="R476" s="50"/>
      <c r="S476" s="50"/>
      <c r="T476" s="50"/>
      <c r="U476" s="50"/>
      <c r="V476" s="50"/>
      <c r="W476" s="50"/>
      <c r="X476" s="50"/>
      <c r="Y476" s="50"/>
      <c r="Z476" s="50"/>
      <c r="AA476" s="50"/>
      <c r="AB476" s="50"/>
      <c r="AC476" s="50"/>
    </row>
    <row r="477">
      <c r="A477" s="48" t="s">
        <v>2648</v>
      </c>
      <c r="B477" s="49" t="s">
        <v>3230</v>
      </c>
      <c r="C477" s="48" t="s">
        <v>3231</v>
      </c>
      <c r="D477" s="50" t="str">
        <f>IFERROR(__xludf.DUMMYFUNCTION("""COMPUTED_VALUE"""),"Cochin")</f>
        <v>Cochin</v>
      </c>
      <c r="E477" s="50"/>
      <c r="F477" s="50" t="s">
        <v>3231</v>
      </c>
      <c r="G477" s="50" t="s">
        <v>3231</v>
      </c>
      <c r="H477" s="50" t="s">
        <v>1710</v>
      </c>
      <c r="I477" s="50"/>
      <c r="J477" s="50" t="s">
        <v>2709</v>
      </c>
      <c r="K477" s="50"/>
      <c r="L477" s="50"/>
      <c r="M477" s="50"/>
      <c r="N477" s="50"/>
      <c r="O477" s="50"/>
      <c r="P477" s="50"/>
      <c r="Q477" s="50"/>
      <c r="R477" s="50"/>
      <c r="S477" s="50"/>
      <c r="T477" s="50"/>
      <c r="U477" s="50"/>
      <c r="V477" s="50"/>
      <c r="W477" s="50"/>
      <c r="X477" s="50"/>
      <c r="Y477" s="50"/>
      <c r="Z477" s="50"/>
      <c r="AA477" s="50"/>
      <c r="AB477" s="50"/>
      <c r="AC477" s="50"/>
    </row>
    <row r="478">
      <c r="A478" s="48" t="s">
        <v>2648</v>
      </c>
      <c r="B478" s="49" t="s">
        <v>3232</v>
      </c>
      <c r="C478" s="48" t="s">
        <v>3233</v>
      </c>
      <c r="D478" s="50" t="str">
        <f>IFERROR(__xludf.DUMMYFUNCTION("""COMPUTED_VALUE"""),"J31")</f>
        <v>J31</v>
      </c>
      <c r="E478" s="50"/>
      <c r="F478" s="50" t="s">
        <v>3233</v>
      </c>
      <c r="G478" s="50" t="s">
        <v>3233</v>
      </c>
      <c r="H478" s="50" t="s">
        <v>1710</v>
      </c>
      <c r="I478" s="50"/>
      <c r="J478" s="50" t="s">
        <v>2709</v>
      </c>
      <c r="K478" s="50"/>
      <c r="L478" s="50"/>
      <c r="M478" s="50"/>
      <c r="N478" s="50"/>
      <c r="O478" s="50"/>
      <c r="P478" s="50"/>
      <c r="Q478" s="50"/>
      <c r="R478" s="50"/>
      <c r="S478" s="50"/>
      <c r="T478" s="50"/>
      <c r="U478" s="50"/>
      <c r="V478" s="50"/>
      <c r="W478" s="50"/>
      <c r="X478" s="50"/>
      <c r="Y478" s="50"/>
      <c r="Z478" s="50"/>
      <c r="AA478" s="50"/>
      <c r="AB478" s="50"/>
      <c r="AC478" s="50"/>
    </row>
    <row r="479">
      <c r="A479" s="48" t="s">
        <v>2648</v>
      </c>
      <c r="B479" s="49" t="s">
        <v>3234</v>
      </c>
      <c r="C479" s="48" t="s">
        <v>3235</v>
      </c>
      <c r="D479" s="50" t="str">
        <f>IFERROR(__xludf.DUMMYFUNCTION("""COMPUTED_VALUE"""),"Citron Doré")</f>
        <v>Citron Doré</v>
      </c>
      <c r="E479" s="50"/>
      <c r="F479" s="50" t="s">
        <v>3235</v>
      </c>
      <c r="G479" s="50" t="s">
        <v>3235</v>
      </c>
      <c r="H479" s="50" t="s">
        <v>1710</v>
      </c>
      <c r="I479" s="50"/>
      <c r="J479" s="50" t="s">
        <v>2709</v>
      </c>
      <c r="K479" s="50"/>
      <c r="L479" s="50"/>
      <c r="M479" s="50"/>
      <c r="N479" s="50"/>
      <c r="O479" s="50"/>
      <c r="P479" s="50"/>
      <c r="Q479" s="50"/>
      <c r="R479" s="50"/>
      <c r="S479" s="50"/>
      <c r="T479" s="50"/>
      <c r="U479" s="50"/>
      <c r="V479" s="50"/>
      <c r="W479" s="50"/>
      <c r="X479" s="50"/>
      <c r="Y479" s="50"/>
      <c r="Z479" s="50"/>
      <c r="AA479" s="50"/>
      <c r="AB479" s="50"/>
      <c r="AC479" s="50"/>
    </row>
    <row r="480">
      <c r="A480" s="48" t="s">
        <v>2648</v>
      </c>
      <c r="B480" s="49" t="s">
        <v>3236</v>
      </c>
      <c r="C480" s="48" t="s">
        <v>3237</v>
      </c>
      <c r="D480" s="50" t="str">
        <f>IFERROR(__xludf.DUMMYFUNCTION("""COMPUTED_VALUE"""),"1Er Mai")</f>
        <v>1Er Mai</v>
      </c>
      <c r="E480" s="50"/>
      <c r="F480" s="50" t="s">
        <v>3237</v>
      </c>
      <c r="G480" s="50" t="s">
        <v>3237</v>
      </c>
      <c r="H480" s="50" t="s">
        <v>1710</v>
      </c>
      <c r="I480" s="50"/>
      <c r="J480" s="50" t="s">
        <v>2709</v>
      </c>
      <c r="K480" s="50"/>
      <c r="L480" s="50"/>
      <c r="M480" s="50"/>
      <c r="N480" s="50"/>
      <c r="O480" s="50"/>
      <c r="P480" s="50"/>
      <c r="Q480" s="50"/>
      <c r="R480" s="50"/>
      <c r="S480" s="50"/>
      <c r="T480" s="50"/>
      <c r="U480" s="50"/>
      <c r="V480" s="50"/>
      <c r="W480" s="50"/>
      <c r="X480" s="50"/>
      <c r="Y480" s="50"/>
      <c r="Z480" s="50"/>
      <c r="AA480" s="50"/>
      <c r="AB480" s="50"/>
      <c r="AC480" s="50"/>
    </row>
    <row r="481">
      <c r="A481" s="48" t="s">
        <v>2648</v>
      </c>
      <c r="B481" s="49" t="s">
        <v>3238</v>
      </c>
      <c r="C481" s="48" t="s">
        <v>3239</v>
      </c>
      <c r="D481" s="50" t="str">
        <f>IFERROR(__xludf.DUMMYFUNCTION("""COMPUTED_VALUE"""),"Semis Du 2 Mai")</f>
        <v>Semis Du 2 Mai</v>
      </c>
      <c r="E481" s="50"/>
      <c r="F481" s="50" t="s">
        <v>3239</v>
      </c>
      <c r="G481" s="50" t="s">
        <v>3239</v>
      </c>
      <c r="H481" s="50" t="s">
        <v>1710</v>
      </c>
      <c r="I481" s="50"/>
      <c r="J481" s="50" t="s">
        <v>2709</v>
      </c>
      <c r="K481" s="50"/>
      <c r="L481" s="50"/>
      <c r="M481" s="50"/>
      <c r="N481" s="50"/>
      <c r="O481" s="50"/>
      <c r="P481" s="50"/>
      <c r="Q481" s="50"/>
      <c r="R481" s="50"/>
      <c r="S481" s="50"/>
      <c r="T481" s="50"/>
      <c r="U481" s="50"/>
      <c r="V481" s="50"/>
      <c r="W481" s="50"/>
      <c r="X481" s="50"/>
      <c r="Y481" s="50"/>
      <c r="Z481" s="50"/>
      <c r="AA481" s="50"/>
      <c r="AB481" s="50"/>
      <c r="AC481" s="50"/>
    </row>
    <row r="482">
      <c r="A482" s="48" t="s">
        <v>2648</v>
      </c>
      <c r="B482" s="49" t="s">
        <v>3240</v>
      </c>
      <c r="C482" s="48" t="s">
        <v>3241</v>
      </c>
      <c r="D482" s="50" t="str">
        <f>IFERROR(__xludf.DUMMYFUNCTION("""COMPUTED_VALUE"""),"Semis Ns1")</f>
        <v>Semis Ns1</v>
      </c>
      <c r="E482" s="50"/>
      <c r="F482" s="50" t="s">
        <v>3241</v>
      </c>
      <c r="G482" s="50" t="s">
        <v>3241</v>
      </c>
      <c r="H482" s="50" t="s">
        <v>1710</v>
      </c>
      <c r="I482" s="50"/>
      <c r="J482" s="50" t="s">
        <v>2709</v>
      </c>
      <c r="K482" s="50"/>
      <c r="L482" s="50"/>
      <c r="M482" s="50"/>
      <c r="N482" s="50"/>
      <c r="O482" s="50"/>
      <c r="P482" s="50"/>
      <c r="Q482" s="50"/>
      <c r="R482" s="50"/>
      <c r="S482" s="50"/>
      <c r="T482" s="50"/>
      <c r="U482" s="50"/>
      <c r="V482" s="50"/>
      <c r="W482" s="50"/>
      <c r="X482" s="50"/>
      <c r="Y482" s="50"/>
      <c r="Z482" s="50"/>
      <c r="AA482" s="50"/>
      <c r="AB482" s="50"/>
      <c r="AC482" s="50"/>
    </row>
    <row r="483">
      <c r="A483" s="48" t="s">
        <v>2648</v>
      </c>
      <c r="B483" s="49" t="s">
        <v>3242</v>
      </c>
      <c r="C483" s="48" t="s">
        <v>3243</v>
      </c>
      <c r="D483" s="50" t="str">
        <f>IFERROR(__xludf.DUMMYFUNCTION("""COMPUTED_VALUE"""),"Orange Crush")</f>
        <v>Orange Crush</v>
      </c>
      <c r="E483" s="50"/>
      <c r="F483" s="50" t="s">
        <v>3243</v>
      </c>
      <c r="G483" s="50" t="s">
        <v>3243</v>
      </c>
      <c r="H483" s="50" t="s">
        <v>1710</v>
      </c>
      <c r="I483" s="50"/>
      <c r="J483" s="50" t="s">
        <v>2709</v>
      </c>
      <c r="K483" s="50"/>
      <c r="L483" s="50"/>
      <c r="M483" s="50"/>
      <c r="N483" s="50"/>
      <c r="O483" s="50"/>
      <c r="P483" s="50"/>
      <c r="Q483" s="50"/>
      <c r="R483" s="50"/>
      <c r="S483" s="50"/>
      <c r="T483" s="50"/>
      <c r="U483" s="50"/>
      <c r="V483" s="50"/>
      <c r="W483" s="50"/>
      <c r="X483" s="50"/>
      <c r="Y483" s="50"/>
      <c r="Z483" s="50"/>
      <c r="AA483" s="50"/>
      <c r="AB483" s="50"/>
      <c r="AC483" s="50"/>
    </row>
    <row r="484">
      <c r="A484" s="48" t="s">
        <v>2648</v>
      </c>
      <c r="B484" s="49" t="s">
        <v>3244</v>
      </c>
      <c r="C484" s="48" t="s">
        <v>3245</v>
      </c>
      <c r="D484" s="50" t="str">
        <f>IFERROR(__xludf.DUMMYFUNCTION("""COMPUTED_VALUE"""),"Petit")</f>
        <v>Petit</v>
      </c>
      <c r="E484" s="50"/>
      <c r="F484" s="50" t="s">
        <v>3245</v>
      </c>
      <c r="G484" s="50" t="s">
        <v>3245</v>
      </c>
      <c r="H484" s="50" t="s">
        <v>1710</v>
      </c>
      <c r="I484" s="50"/>
      <c r="J484" s="50" t="s">
        <v>2709</v>
      </c>
      <c r="K484" s="50"/>
      <c r="L484" s="50"/>
      <c r="M484" s="50"/>
      <c r="N484" s="50"/>
      <c r="O484" s="50"/>
      <c r="P484" s="50"/>
      <c r="Q484" s="50"/>
      <c r="R484" s="50"/>
      <c r="S484" s="50"/>
      <c r="T484" s="50"/>
      <c r="U484" s="50"/>
      <c r="V484" s="50"/>
      <c r="W484" s="50"/>
      <c r="X484" s="50"/>
      <c r="Y484" s="50"/>
      <c r="Z484" s="50"/>
      <c r="AA484" s="50"/>
      <c r="AB484" s="50"/>
      <c r="AC484" s="50"/>
    </row>
    <row r="485">
      <c r="A485" s="48" t="s">
        <v>2648</v>
      </c>
      <c r="B485" s="49" t="s">
        <v>3246</v>
      </c>
      <c r="C485" s="48" t="s">
        <v>3247</v>
      </c>
      <c r="D485" s="50" t="str">
        <f>IFERROR(__xludf.DUMMYFUNCTION("""COMPUTED_VALUE"""),"Vietnam")</f>
        <v>Vietnam</v>
      </c>
      <c r="E485" s="50"/>
      <c r="F485" s="50" t="s">
        <v>3247</v>
      </c>
      <c r="G485" s="50" t="s">
        <v>3247</v>
      </c>
      <c r="H485" s="50" t="s">
        <v>1710</v>
      </c>
      <c r="I485" s="50"/>
      <c r="J485" s="50" t="s">
        <v>2709</v>
      </c>
      <c r="K485" s="50"/>
      <c r="L485" s="50"/>
      <c r="M485" s="50"/>
      <c r="N485" s="50"/>
      <c r="O485" s="50"/>
      <c r="P485" s="50"/>
      <c r="Q485" s="50"/>
      <c r="R485" s="50"/>
      <c r="S485" s="50"/>
      <c r="T485" s="50"/>
      <c r="U485" s="50"/>
      <c r="V485" s="50"/>
      <c r="W485" s="50"/>
      <c r="X485" s="50"/>
      <c r="Y485" s="50"/>
      <c r="Z485" s="50"/>
      <c r="AA485" s="50"/>
      <c r="AB485" s="50"/>
      <c r="AC485" s="50"/>
    </row>
    <row r="486">
      <c r="A486" s="48" t="s">
        <v>2648</v>
      </c>
      <c r="B486" s="49" t="s">
        <v>3248</v>
      </c>
      <c r="C486" s="48" t="s">
        <v>3249</v>
      </c>
      <c r="D486" s="50" t="str">
        <f>IFERROR(__xludf.DUMMYFUNCTION("""COMPUTED_VALUE"""),"Arkin")</f>
        <v>Arkin</v>
      </c>
      <c r="E486" s="50"/>
      <c r="F486" s="50" t="s">
        <v>3249</v>
      </c>
      <c r="G486" s="50" t="s">
        <v>3249</v>
      </c>
      <c r="H486" s="50" t="s">
        <v>1710</v>
      </c>
      <c r="I486" s="50"/>
      <c r="J486" s="50" t="s">
        <v>2727</v>
      </c>
      <c r="K486" s="50"/>
      <c r="L486" s="50"/>
      <c r="M486" s="50"/>
      <c r="N486" s="50"/>
      <c r="O486" s="50"/>
      <c r="P486" s="50"/>
      <c r="Q486" s="50"/>
      <c r="R486" s="50"/>
      <c r="S486" s="50"/>
      <c r="T486" s="50"/>
      <c r="U486" s="50"/>
      <c r="V486" s="50"/>
      <c r="W486" s="50"/>
      <c r="X486" s="50"/>
      <c r="Y486" s="50"/>
      <c r="Z486" s="50"/>
      <c r="AA486" s="50"/>
      <c r="AB486" s="50"/>
      <c r="AC486" s="50"/>
    </row>
    <row r="487">
      <c r="A487" s="48" t="s">
        <v>2648</v>
      </c>
      <c r="B487" s="49" t="s">
        <v>3250</v>
      </c>
      <c r="C487" s="48" t="s">
        <v>3251</v>
      </c>
      <c r="D487" s="50" t="str">
        <f>IFERROR(__xludf.DUMMYFUNCTION("""COMPUTED_VALUE"""),"Fwang Twung")</f>
        <v>Fwang Twung</v>
      </c>
      <c r="E487" s="50"/>
      <c r="F487" s="50" t="s">
        <v>3251</v>
      </c>
      <c r="G487" s="50" t="s">
        <v>3251</v>
      </c>
      <c r="H487" s="50" t="s">
        <v>1710</v>
      </c>
      <c r="I487" s="50"/>
      <c r="J487" s="50" t="s">
        <v>2727</v>
      </c>
      <c r="K487" s="50"/>
      <c r="L487" s="50"/>
      <c r="M487" s="50"/>
      <c r="N487" s="50"/>
      <c r="O487" s="50"/>
      <c r="P487" s="50"/>
      <c r="Q487" s="50"/>
      <c r="R487" s="50"/>
      <c r="S487" s="50"/>
      <c r="T487" s="50"/>
      <c r="U487" s="50"/>
      <c r="V487" s="50"/>
      <c r="W487" s="50"/>
      <c r="X487" s="50"/>
      <c r="Y487" s="50"/>
      <c r="Z487" s="50"/>
      <c r="AA487" s="50"/>
      <c r="AB487" s="50"/>
      <c r="AC487" s="50"/>
    </row>
    <row r="488">
      <c r="A488" s="48" t="s">
        <v>2648</v>
      </c>
      <c r="B488" s="49" t="s">
        <v>3252</v>
      </c>
      <c r="C488" s="48" t="s">
        <v>3253</v>
      </c>
      <c r="D488" s="50" t="str">
        <f>IFERROR(__xludf.DUMMYFUNCTION("""COMPUTED_VALUE"""),"Kajang")</f>
        <v>Kajang</v>
      </c>
      <c r="E488" s="50"/>
      <c r="F488" s="50" t="s">
        <v>3253</v>
      </c>
      <c r="G488" s="50" t="s">
        <v>3253</v>
      </c>
      <c r="H488" s="50" t="s">
        <v>1710</v>
      </c>
      <c r="I488" s="50"/>
      <c r="J488" s="50" t="s">
        <v>2727</v>
      </c>
      <c r="K488" s="50"/>
      <c r="L488" s="50"/>
      <c r="M488" s="50"/>
      <c r="N488" s="50"/>
      <c r="O488" s="50"/>
      <c r="P488" s="50"/>
      <c r="Q488" s="50"/>
      <c r="R488" s="50"/>
      <c r="S488" s="50"/>
      <c r="T488" s="50"/>
      <c r="U488" s="50"/>
      <c r="V488" s="50"/>
      <c r="W488" s="50"/>
      <c r="X488" s="50"/>
      <c r="Y488" s="50"/>
      <c r="Z488" s="50"/>
      <c r="AA488" s="50"/>
      <c r="AB488" s="50"/>
      <c r="AC488" s="50"/>
    </row>
    <row r="489">
      <c r="A489" s="48" t="s">
        <v>2648</v>
      </c>
      <c r="B489" s="49" t="s">
        <v>3254</v>
      </c>
      <c r="C489" s="48" t="s">
        <v>3255</v>
      </c>
      <c r="D489" s="50" t="str">
        <f>IFERROR(__xludf.DUMMYFUNCTION("""COMPUTED_VALUE"""),"Kary")</f>
        <v>Kary</v>
      </c>
      <c r="E489" s="50"/>
      <c r="F489" s="50" t="s">
        <v>3255</v>
      </c>
      <c r="G489" s="50" t="s">
        <v>3255</v>
      </c>
      <c r="H489" s="50" t="s">
        <v>1710</v>
      </c>
      <c r="I489" s="50"/>
      <c r="J489" s="50" t="s">
        <v>2727</v>
      </c>
      <c r="K489" s="50"/>
      <c r="L489" s="50"/>
      <c r="M489" s="50"/>
      <c r="N489" s="50"/>
      <c r="O489" s="50"/>
      <c r="P489" s="50"/>
      <c r="Q489" s="50"/>
      <c r="R489" s="50"/>
      <c r="S489" s="50"/>
      <c r="T489" s="50"/>
      <c r="U489" s="50"/>
      <c r="V489" s="50"/>
      <c r="W489" s="50"/>
      <c r="X489" s="50"/>
      <c r="Y489" s="50"/>
      <c r="Z489" s="50"/>
      <c r="AA489" s="50"/>
      <c r="AB489" s="50"/>
      <c r="AC489" s="50"/>
    </row>
    <row r="490">
      <c r="A490" s="48" t="s">
        <v>2648</v>
      </c>
      <c r="B490" s="49" t="s">
        <v>3256</v>
      </c>
      <c r="C490" s="48" t="s">
        <v>3257</v>
      </c>
      <c r="D490" s="50" t="str">
        <f>IFERROR(__xludf.DUMMYFUNCTION("""COMPUTED_VALUE"""),"Lara")</f>
        <v>Lara</v>
      </c>
      <c r="E490" s="50"/>
      <c r="F490" s="50" t="s">
        <v>3257</v>
      </c>
      <c r="G490" s="50" t="s">
        <v>3257</v>
      </c>
      <c r="H490" s="50" t="s">
        <v>1710</v>
      </c>
      <c r="I490" s="50"/>
      <c r="J490" s="50" t="s">
        <v>2727</v>
      </c>
      <c r="K490" s="50"/>
      <c r="L490" s="50"/>
      <c r="M490" s="50"/>
      <c r="N490" s="50"/>
      <c r="O490" s="50"/>
      <c r="P490" s="50"/>
      <c r="Q490" s="50"/>
      <c r="R490" s="50"/>
      <c r="S490" s="50"/>
      <c r="T490" s="50"/>
      <c r="U490" s="50"/>
      <c r="V490" s="50"/>
      <c r="W490" s="50"/>
      <c r="X490" s="50"/>
      <c r="Y490" s="50"/>
      <c r="Z490" s="50"/>
      <c r="AA490" s="50"/>
      <c r="AB490" s="50"/>
      <c r="AC490" s="50"/>
    </row>
    <row r="491">
      <c r="A491" s="48" t="s">
        <v>2648</v>
      </c>
      <c r="B491" s="49" t="s">
        <v>3258</v>
      </c>
      <c r="C491" s="48" t="s">
        <v>3259</v>
      </c>
      <c r="D491" s="50" t="str">
        <f>IFERROR(__xludf.DUMMYFUNCTION("""COMPUTED_VALUE"""),"Punta Gorda")</f>
        <v>Punta Gorda</v>
      </c>
      <c r="E491" s="50"/>
      <c r="F491" s="50" t="s">
        <v>3259</v>
      </c>
      <c r="G491" s="50" t="s">
        <v>3259</v>
      </c>
      <c r="H491" s="50" t="s">
        <v>1710</v>
      </c>
      <c r="I491" s="50"/>
      <c r="J491" s="50" t="s">
        <v>2727</v>
      </c>
      <c r="K491" s="50"/>
      <c r="L491" s="50"/>
      <c r="M491" s="50"/>
      <c r="N491" s="50"/>
      <c r="O491" s="50"/>
      <c r="P491" s="50"/>
      <c r="Q491" s="50"/>
      <c r="R491" s="50"/>
      <c r="S491" s="50"/>
      <c r="T491" s="50"/>
      <c r="U491" s="50"/>
      <c r="V491" s="50"/>
      <c r="W491" s="50"/>
      <c r="X491" s="50"/>
      <c r="Y491" s="50"/>
      <c r="Z491" s="50"/>
      <c r="AA491" s="50"/>
      <c r="AB491" s="50"/>
      <c r="AC491" s="50"/>
    </row>
    <row r="492">
      <c r="A492" s="48" t="s">
        <v>2648</v>
      </c>
      <c r="B492" s="49" t="s">
        <v>3260</v>
      </c>
      <c r="C492" s="48" t="s">
        <v>3261</v>
      </c>
      <c r="D492" s="50" t="str">
        <f>IFERROR(__xludf.DUMMYFUNCTION("""COMPUTED_VALUE"""),"Sri Kembangan")</f>
        <v>Sri Kembangan</v>
      </c>
      <c r="E492" s="50"/>
      <c r="F492" s="50" t="s">
        <v>3261</v>
      </c>
      <c r="G492" s="50" t="s">
        <v>3261</v>
      </c>
      <c r="H492" s="50" t="s">
        <v>1710</v>
      </c>
      <c r="I492" s="50"/>
      <c r="J492" s="50" t="s">
        <v>2727</v>
      </c>
      <c r="K492" s="50"/>
      <c r="L492" s="50"/>
      <c r="M492" s="50"/>
      <c r="N492" s="50"/>
      <c r="O492" s="50"/>
      <c r="P492" s="50"/>
      <c r="Q492" s="50"/>
      <c r="R492" s="50"/>
      <c r="S492" s="50"/>
      <c r="T492" s="50"/>
      <c r="U492" s="50"/>
      <c r="V492" s="50"/>
      <c r="W492" s="50"/>
      <c r="X492" s="50"/>
      <c r="Y492" s="50"/>
      <c r="Z492" s="50"/>
      <c r="AA492" s="50"/>
      <c r="AB492" s="50"/>
      <c r="AC492" s="50"/>
    </row>
    <row r="493">
      <c r="A493" s="48" t="s">
        <v>2648</v>
      </c>
      <c r="B493" s="49" t="s">
        <v>3262</v>
      </c>
      <c r="C493" s="48" t="s">
        <v>3263</v>
      </c>
      <c r="D493" s="50" t="str">
        <f>IFERROR(__xludf.DUMMYFUNCTION("""COMPUTED_VALUE"""),"Bourgeois")</f>
        <v>Bourgeois</v>
      </c>
      <c r="E493" s="50"/>
      <c r="F493" s="50" t="s">
        <v>3263</v>
      </c>
      <c r="G493" s="50" t="s">
        <v>3263</v>
      </c>
      <c r="H493" s="50" t="s">
        <v>1710</v>
      </c>
      <c r="I493" s="50"/>
      <c r="J493" s="50" t="s">
        <v>2796</v>
      </c>
      <c r="K493" s="50"/>
      <c r="L493" s="50"/>
      <c r="M493" s="50"/>
      <c r="N493" s="50"/>
      <c r="O493" s="50"/>
      <c r="P493" s="50"/>
      <c r="Q493" s="50"/>
      <c r="R493" s="50"/>
      <c r="S493" s="50"/>
      <c r="T493" s="50"/>
      <c r="U493" s="50"/>
      <c r="V493" s="50"/>
      <c r="W493" s="50"/>
      <c r="X493" s="50"/>
      <c r="Y493" s="50"/>
      <c r="Z493" s="50"/>
      <c r="AA493" s="50"/>
      <c r="AB493" s="50"/>
      <c r="AC493" s="50"/>
    </row>
    <row r="494">
      <c r="A494" s="48" t="s">
        <v>2648</v>
      </c>
      <c r="B494" s="49" t="s">
        <v>3264</v>
      </c>
      <c r="C494" s="48" t="s">
        <v>3265</v>
      </c>
      <c r="D494" s="50" t="str">
        <f>IFERROR(__xludf.DUMMYFUNCTION("""COMPUTED_VALUE"""),"Morado")</f>
        <v>Morado</v>
      </c>
      <c r="E494" s="50"/>
      <c r="F494" s="50" t="s">
        <v>3265</v>
      </c>
      <c r="G494" s="50" t="s">
        <v>3265</v>
      </c>
      <c r="H494" s="50" t="s">
        <v>1710</v>
      </c>
      <c r="I494" s="50"/>
      <c r="J494" s="50" t="s">
        <v>2796</v>
      </c>
      <c r="K494" s="50"/>
      <c r="L494" s="50"/>
      <c r="M494" s="50"/>
      <c r="N494" s="50"/>
      <c r="O494" s="50"/>
      <c r="P494" s="50"/>
      <c r="Q494" s="50"/>
      <c r="R494" s="50"/>
      <c r="S494" s="50"/>
      <c r="T494" s="50"/>
      <c r="U494" s="50"/>
      <c r="V494" s="50"/>
      <c r="W494" s="50"/>
      <c r="X494" s="50"/>
      <c r="Y494" s="50"/>
      <c r="Z494" s="50"/>
      <c r="AA494" s="50"/>
      <c r="AB494" s="50"/>
      <c r="AC494" s="50"/>
    </row>
    <row r="495">
      <c r="A495" s="48" t="s">
        <v>2648</v>
      </c>
      <c r="B495" s="49" t="s">
        <v>3266</v>
      </c>
      <c r="C495" s="48" t="s">
        <v>3267</v>
      </c>
      <c r="D495" s="50" t="str">
        <f>IFERROR(__xludf.DUMMYFUNCTION("""COMPUTED_VALUE"""),"Beauté Noire")</f>
        <v>Beauté Noire</v>
      </c>
      <c r="E495" s="50"/>
      <c r="F495" s="50" t="s">
        <v>3267</v>
      </c>
      <c r="G495" s="50" t="s">
        <v>3267</v>
      </c>
      <c r="H495" s="50" t="s">
        <v>1710</v>
      </c>
      <c r="I495" s="50"/>
      <c r="J495" s="50" t="s">
        <v>2829</v>
      </c>
      <c r="K495" s="50"/>
      <c r="L495" s="50"/>
      <c r="M495" s="50"/>
      <c r="N495" s="50"/>
      <c r="O495" s="50"/>
      <c r="P495" s="50"/>
      <c r="Q495" s="50"/>
      <c r="R495" s="50"/>
      <c r="S495" s="50"/>
      <c r="T495" s="50"/>
      <c r="U495" s="50"/>
      <c r="V495" s="50"/>
      <c r="W495" s="50"/>
      <c r="X495" s="50"/>
      <c r="Y495" s="50"/>
      <c r="Z495" s="50"/>
      <c r="AA495" s="50"/>
      <c r="AB495" s="50"/>
      <c r="AC495" s="50"/>
    </row>
    <row r="496">
      <c r="A496" s="48" t="s">
        <v>2648</v>
      </c>
      <c r="B496" s="49" t="s">
        <v>3268</v>
      </c>
      <c r="C496" s="48" t="s">
        <v>3269</v>
      </c>
      <c r="D496" s="50" t="str">
        <f>IFERROR(__xludf.DUMMYFUNCTION("""COMPUTED_VALUE"""),"Curcuma Blanc/Mangue")</f>
        <v>Curcuma Blanc/Mangue</v>
      </c>
      <c r="E496" s="50"/>
      <c r="F496" s="50" t="s">
        <v>3269</v>
      </c>
      <c r="G496" s="50" t="s">
        <v>3269</v>
      </c>
      <c r="H496" s="50" t="s">
        <v>1710</v>
      </c>
      <c r="I496" s="50"/>
      <c r="J496" s="50" t="s">
        <v>2837</v>
      </c>
      <c r="K496" s="50"/>
      <c r="L496" s="50"/>
      <c r="M496" s="50"/>
      <c r="N496" s="50"/>
      <c r="O496" s="50"/>
      <c r="P496" s="50"/>
      <c r="Q496" s="50"/>
      <c r="R496" s="50"/>
      <c r="S496" s="50"/>
      <c r="T496" s="50"/>
      <c r="U496" s="50"/>
      <c r="V496" s="50"/>
      <c r="W496" s="50"/>
      <c r="X496" s="50"/>
      <c r="Y496" s="50"/>
      <c r="Z496" s="50"/>
      <c r="AA496" s="50"/>
      <c r="AB496" s="50"/>
      <c r="AC496" s="50"/>
    </row>
    <row r="497">
      <c r="A497" s="48" t="s">
        <v>2648</v>
      </c>
      <c r="B497" s="49" t="s">
        <v>3270</v>
      </c>
      <c r="C497" s="48" t="s">
        <v>3271</v>
      </c>
      <c r="D497" s="50" t="str">
        <f>IFERROR(__xludf.DUMMYFUNCTION("""COMPUTED_VALUE"""),"Clone De Caille Géante")</f>
        <v>Clone De Caille Géante</v>
      </c>
      <c r="E497" s="50"/>
      <c r="F497" s="50" t="s">
        <v>3271</v>
      </c>
      <c r="G497" s="50" t="s">
        <v>3271</v>
      </c>
      <c r="H497" s="50" t="s">
        <v>1710</v>
      </c>
      <c r="I497" s="50"/>
      <c r="J497" s="50" t="s">
        <v>2853</v>
      </c>
      <c r="K497" s="50"/>
      <c r="L497" s="50"/>
      <c r="M497" s="50"/>
      <c r="N497" s="50"/>
      <c r="O497" s="50"/>
      <c r="P497" s="50"/>
      <c r="Q497" s="50"/>
      <c r="R497" s="50"/>
      <c r="S497" s="50"/>
      <c r="T497" s="50"/>
      <c r="U497" s="50"/>
      <c r="V497" s="50"/>
      <c r="W497" s="50"/>
      <c r="X497" s="50"/>
      <c r="Y497" s="50"/>
      <c r="Z497" s="50"/>
      <c r="AA497" s="50"/>
      <c r="AB497" s="50"/>
      <c r="AC497" s="50"/>
    </row>
    <row r="498">
      <c r="A498" s="48" t="s">
        <v>2648</v>
      </c>
      <c r="B498" s="49" t="s">
        <v>3272</v>
      </c>
      <c r="C498" s="48" t="s">
        <v>3273</v>
      </c>
      <c r="D498" s="50" t="str">
        <f>IFERROR(__xludf.DUMMYFUNCTION("""COMPUTED_VALUE"""),"Gros Boi")</f>
        <v>Gros Boi</v>
      </c>
      <c r="E498" s="50"/>
      <c r="F498" s="50" t="s">
        <v>3273</v>
      </c>
      <c r="G498" s="50" t="s">
        <v>3273</v>
      </c>
      <c r="H498" s="50" t="s">
        <v>1710</v>
      </c>
      <c r="I498" s="50"/>
      <c r="J498" s="50" t="s">
        <v>2857</v>
      </c>
      <c r="K498" s="50"/>
      <c r="L498" s="50"/>
      <c r="M498" s="50"/>
      <c r="N498" s="50"/>
      <c r="O498" s="50"/>
      <c r="P498" s="50"/>
      <c r="Q498" s="50"/>
      <c r="R498" s="50"/>
      <c r="S498" s="50"/>
      <c r="T498" s="50"/>
      <c r="U498" s="50"/>
      <c r="V498" s="50"/>
      <c r="W498" s="50"/>
      <c r="X498" s="50"/>
      <c r="Y498" s="50"/>
      <c r="Z498" s="50"/>
      <c r="AA498" s="50"/>
      <c r="AB498" s="50"/>
      <c r="AC498" s="50"/>
    </row>
    <row r="499">
      <c r="A499" s="48" t="s">
        <v>2648</v>
      </c>
      <c r="B499" s="49" t="s">
        <v>3274</v>
      </c>
      <c r="C499" s="48" t="s">
        <v>3275</v>
      </c>
      <c r="D499" s="50" t="str">
        <f>IFERROR(__xludf.DUMMYFUNCTION("""COMPUTED_VALUE"""),"Bq Bue Que, Biew Kiew, Beow Keow")</f>
        <v>Bq Bue Que, Biew Kiew, Beow Keow</v>
      </c>
      <c r="E499" s="50"/>
      <c r="F499" s="50" t="s">
        <v>3275</v>
      </c>
      <c r="G499" s="50" t="s">
        <v>3275</v>
      </c>
      <c r="H499" s="50" t="s">
        <v>1710</v>
      </c>
      <c r="I499" s="50"/>
      <c r="J499" s="50" t="s">
        <v>2857</v>
      </c>
      <c r="K499" s="50"/>
      <c r="L499" s="50"/>
      <c r="M499" s="50"/>
      <c r="N499" s="50"/>
      <c r="O499" s="50"/>
      <c r="P499" s="50"/>
      <c r="Q499" s="50"/>
      <c r="R499" s="50"/>
      <c r="S499" s="50"/>
      <c r="T499" s="50"/>
      <c r="U499" s="50"/>
      <c r="V499" s="50"/>
      <c r="W499" s="50"/>
      <c r="X499" s="50"/>
      <c r="Y499" s="50"/>
      <c r="Z499" s="50"/>
      <c r="AA499" s="50"/>
      <c r="AB499" s="50"/>
      <c r="AC499" s="50"/>
    </row>
    <row r="500">
      <c r="A500" s="48" t="s">
        <v>2648</v>
      </c>
      <c r="B500" s="49" t="s">
        <v>3276</v>
      </c>
      <c r="C500" s="48" t="s">
        <v>3277</v>
      </c>
      <c r="D500" s="50" t="str">
        <f>IFERROR(__xludf.DUMMYFUNCTION("""COMPUTED_VALUE"""),"Kohala")</f>
        <v>Kohala</v>
      </c>
      <c r="E500" s="50"/>
      <c r="F500" s="50" t="s">
        <v>3277</v>
      </c>
      <c r="G500" s="50" t="s">
        <v>3277</v>
      </c>
      <c r="H500" s="50" t="s">
        <v>1710</v>
      </c>
      <c r="I500" s="50"/>
      <c r="J500" s="50" t="s">
        <v>2857</v>
      </c>
      <c r="K500" s="50"/>
      <c r="L500" s="50"/>
      <c r="M500" s="50"/>
      <c r="N500" s="50"/>
      <c r="O500" s="50"/>
      <c r="P500" s="50"/>
      <c r="Q500" s="50"/>
      <c r="R500" s="50"/>
      <c r="S500" s="50"/>
      <c r="T500" s="50"/>
      <c r="U500" s="50"/>
      <c r="V500" s="50"/>
      <c r="W500" s="50"/>
      <c r="X500" s="50"/>
      <c r="Y500" s="50"/>
      <c r="Z500" s="50"/>
      <c r="AA500" s="50"/>
      <c r="AB500" s="50"/>
      <c r="AC500" s="50"/>
    </row>
    <row r="501">
      <c r="A501" s="48" t="s">
        <v>2648</v>
      </c>
      <c r="B501" s="49" t="s">
        <v>3278</v>
      </c>
      <c r="C501" s="48" t="s">
        <v>3279</v>
      </c>
      <c r="D501" s="50" t="str">
        <f>IFERROR(__xludf.DUMMYFUNCTION("""COMPUTED_VALUE"""),"Sri Champoo")</f>
        <v>Sri Champoo</v>
      </c>
      <c r="E501" s="50"/>
      <c r="F501" s="50" t="s">
        <v>3279</v>
      </c>
      <c r="G501" s="50" t="s">
        <v>3279</v>
      </c>
      <c r="H501" s="50" t="s">
        <v>1710</v>
      </c>
      <c r="I501" s="50"/>
      <c r="J501" s="50" t="s">
        <v>2857</v>
      </c>
      <c r="K501" s="50"/>
      <c r="L501" s="50"/>
      <c r="M501" s="50"/>
      <c r="N501" s="50"/>
      <c r="O501" s="50"/>
      <c r="P501" s="50"/>
      <c r="Q501" s="50"/>
      <c r="R501" s="50"/>
      <c r="S501" s="50"/>
      <c r="T501" s="50"/>
      <c r="U501" s="50"/>
      <c r="V501" s="50"/>
      <c r="W501" s="50"/>
      <c r="X501" s="50"/>
      <c r="Y501" s="50"/>
      <c r="Z501" s="50"/>
      <c r="AA501" s="50"/>
      <c r="AB501" s="50"/>
      <c r="AC501" s="50"/>
    </row>
    <row r="502">
      <c r="A502" s="48" t="s">
        <v>2648</v>
      </c>
      <c r="B502" s="49" t="s">
        <v>3280</v>
      </c>
      <c r="C502" s="48" t="s">
        <v>3281</v>
      </c>
      <c r="D502" s="50" t="str">
        <f>IFERROR(__xludf.DUMMYFUNCTION("""COMPUTED_VALUE"""),"Alargado")</f>
        <v>Alargado</v>
      </c>
      <c r="E502" s="50"/>
      <c r="F502" s="50" t="s">
        <v>3281</v>
      </c>
      <c r="G502" s="50" t="s">
        <v>3281</v>
      </c>
      <c r="H502" s="50" t="s">
        <v>1710</v>
      </c>
      <c r="I502" s="50"/>
      <c r="J502" s="50" t="s">
        <v>3282</v>
      </c>
      <c r="K502" s="50"/>
      <c r="L502" s="50"/>
      <c r="M502" s="50"/>
      <c r="N502" s="50"/>
      <c r="O502" s="50"/>
      <c r="P502" s="50"/>
      <c r="Q502" s="50"/>
      <c r="R502" s="50"/>
      <c r="S502" s="50"/>
      <c r="T502" s="50"/>
      <c r="U502" s="50"/>
      <c r="V502" s="50"/>
      <c r="W502" s="50"/>
      <c r="X502" s="50"/>
      <c r="Y502" s="50"/>
      <c r="Z502" s="50"/>
      <c r="AA502" s="50"/>
      <c r="AB502" s="50"/>
      <c r="AC502" s="50"/>
    </row>
    <row r="503">
      <c r="A503" s="48" t="s">
        <v>2648</v>
      </c>
      <c r="B503" s="49" t="s">
        <v>3283</v>
      </c>
      <c r="C503" s="48" t="s">
        <v>3267</v>
      </c>
      <c r="D503" s="50" t="str">
        <f>IFERROR(__xludf.DUMMYFUNCTION("""COMPUTED_VALUE"""),"Beauté Noire")</f>
        <v>Beauté Noire</v>
      </c>
      <c r="E503" s="50"/>
      <c r="F503" s="50" t="s">
        <v>3267</v>
      </c>
      <c r="G503" s="50" t="s">
        <v>3267</v>
      </c>
      <c r="H503" s="50" t="s">
        <v>1710</v>
      </c>
      <c r="I503" s="50"/>
      <c r="J503" s="50" t="s">
        <v>3282</v>
      </c>
      <c r="K503" s="50"/>
      <c r="L503" s="50"/>
      <c r="M503" s="50"/>
      <c r="N503" s="50"/>
      <c r="O503" s="50"/>
      <c r="P503" s="50"/>
      <c r="Q503" s="50"/>
      <c r="R503" s="50"/>
      <c r="S503" s="50"/>
      <c r="T503" s="50"/>
      <c r="U503" s="50"/>
      <c r="V503" s="50"/>
      <c r="W503" s="50"/>
      <c r="X503" s="50"/>
      <c r="Y503" s="50"/>
      <c r="Z503" s="50"/>
      <c r="AA503" s="50"/>
      <c r="AB503" s="50"/>
      <c r="AC503" s="50"/>
    </row>
    <row r="504">
      <c r="A504" s="48" t="s">
        <v>2648</v>
      </c>
      <c r="B504" s="49" t="s">
        <v>3284</v>
      </c>
      <c r="C504" s="48" t="s">
        <v>3285</v>
      </c>
      <c r="D504" s="50" t="str">
        <f>IFERROR(__xludf.DUMMYFUNCTION("""COMPUTED_VALUE"""),"Wilson")</f>
        <v>Wilson</v>
      </c>
      <c r="E504" s="50"/>
      <c r="F504" s="50" t="s">
        <v>3285</v>
      </c>
      <c r="G504" s="50" t="s">
        <v>3285</v>
      </c>
      <c r="H504" s="50" t="s">
        <v>1710</v>
      </c>
      <c r="I504" s="50"/>
      <c r="J504" s="50" t="s">
        <v>3282</v>
      </c>
      <c r="K504" s="50"/>
      <c r="L504" s="50"/>
      <c r="M504" s="50"/>
      <c r="N504" s="50"/>
      <c r="O504" s="50"/>
      <c r="P504" s="50"/>
      <c r="Q504" s="50"/>
      <c r="R504" s="50"/>
      <c r="S504" s="50"/>
      <c r="T504" s="50"/>
      <c r="U504" s="50"/>
      <c r="V504" s="50"/>
      <c r="W504" s="50"/>
      <c r="X504" s="50"/>
      <c r="Y504" s="50"/>
      <c r="Z504" s="50"/>
      <c r="AA504" s="50"/>
      <c r="AB504" s="50"/>
      <c r="AC504" s="50"/>
    </row>
    <row r="505">
      <c r="A505" s="48" t="s">
        <v>2648</v>
      </c>
      <c r="B505" s="49" t="s">
        <v>3286</v>
      </c>
      <c r="C505" s="48" t="s">
        <v>3287</v>
      </c>
      <c r="D505" s="50" t="str">
        <f>IFERROR(__xludf.DUMMYFUNCTION("""COMPUTED_VALUE"""),"Fuyu")</f>
        <v>Fuyu</v>
      </c>
      <c r="E505" s="50"/>
      <c r="F505" s="50" t="s">
        <v>3287</v>
      </c>
      <c r="G505" s="50" t="s">
        <v>3287</v>
      </c>
      <c r="H505" s="50" t="s">
        <v>1710</v>
      </c>
      <c r="I505" s="50"/>
      <c r="J505" s="50" t="s">
        <v>2865</v>
      </c>
      <c r="K505" s="50"/>
      <c r="L505" s="50"/>
      <c r="M505" s="50"/>
      <c r="N505" s="50"/>
      <c r="O505" s="50"/>
      <c r="P505" s="50"/>
      <c r="Q505" s="50"/>
      <c r="R505" s="50"/>
      <c r="S505" s="50"/>
      <c r="T505" s="50"/>
      <c r="U505" s="50"/>
      <c r="V505" s="50"/>
      <c r="W505" s="50"/>
      <c r="X505" s="50"/>
      <c r="Y505" s="50"/>
      <c r="Z505" s="50"/>
      <c r="AA505" s="50"/>
      <c r="AB505" s="50"/>
      <c r="AC505" s="50"/>
    </row>
    <row r="506">
      <c r="A506" s="48" t="s">
        <v>2648</v>
      </c>
      <c r="B506" s="49" t="s">
        <v>3288</v>
      </c>
      <c r="C506" s="48" t="s">
        <v>3289</v>
      </c>
      <c r="D506" s="50" t="str">
        <f>IFERROR(__xludf.DUMMYFUNCTION("""COMPUTED_VALUE"""),"Hachiya")</f>
        <v>Hachiya</v>
      </c>
      <c r="E506" s="50"/>
      <c r="F506" s="50" t="s">
        <v>3289</v>
      </c>
      <c r="G506" s="50" t="s">
        <v>3289</v>
      </c>
      <c r="H506" s="50" t="s">
        <v>1710</v>
      </c>
      <c r="I506" s="50"/>
      <c r="J506" s="50" t="s">
        <v>2865</v>
      </c>
      <c r="K506" s="50"/>
      <c r="L506" s="50"/>
      <c r="M506" s="50"/>
      <c r="N506" s="50"/>
      <c r="O506" s="50"/>
      <c r="P506" s="50"/>
      <c r="Q506" s="50"/>
      <c r="R506" s="50"/>
      <c r="S506" s="50"/>
      <c r="T506" s="50"/>
      <c r="U506" s="50"/>
      <c r="V506" s="50"/>
      <c r="W506" s="50"/>
      <c r="X506" s="50"/>
      <c r="Y506" s="50"/>
      <c r="Z506" s="50"/>
      <c r="AA506" s="50"/>
      <c r="AB506" s="50"/>
      <c r="AC506" s="50"/>
    </row>
    <row r="507">
      <c r="A507" s="48" t="s">
        <v>2648</v>
      </c>
      <c r="B507" s="49" t="s">
        <v>3290</v>
      </c>
      <c r="C507" s="48" t="s">
        <v>3291</v>
      </c>
      <c r="D507" s="50" t="str">
        <f>IFERROR(__xludf.DUMMYFUNCTION("""COMPUTED_VALUE"""),"Jiro")</f>
        <v>Jiro</v>
      </c>
      <c r="E507" s="50"/>
      <c r="F507" s="50" t="s">
        <v>3291</v>
      </c>
      <c r="G507" s="50" t="s">
        <v>3291</v>
      </c>
      <c r="H507" s="50" t="s">
        <v>1710</v>
      </c>
      <c r="I507" s="50"/>
      <c r="J507" s="50" t="s">
        <v>2865</v>
      </c>
      <c r="K507" s="50"/>
      <c r="L507" s="50"/>
      <c r="M507" s="50"/>
      <c r="N507" s="50"/>
      <c r="O507" s="50"/>
      <c r="P507" s="50"/>
      <c r="Q507" s="50"/>
      <c r="R507" s="50"/>
      <c r="S507" s="50"/>
      <c r="T507" s="50"/>
      <c r="U507" s="50"/>
      <c r="V507" s="50"/>
      <c r="W507" s="50"/>
      <c r="X507" s="50"/>
      <c r="Y507" s="50"/>
      <c r="Z507" s="50"/>
      <c r="AA507" s="50"/>
      <c r="AB507" s="50"/>
      <c r="AC507" s="50"/>
    </row>
    <row r="508">
      <c r="A508" s="48" t="s">
        <v>2648</v>
      </c>
      <c r="B508" s="49" t="s">
        <v>3292</v>
      </c>
      <c r="C508" s="48" t="s">
        <v>3293</v>
      </c>
      <c r="D508" s="50" t="str">
        <f>IFERROR(__xludf.DUMMYFUNCTION("""COMPUTED_VALUE"""),"Matsumoto")</f>
        <v>Matsumoto</v>
      </c>
      <c r="E508" s="50"/>
      <c r="F508" s="50" t="s">
        <v>3293</v>
      </c>
      <c r="G508" s="50" t="s">
        <v>3293</v>
      </c>
      <c r="H508" s="50" t="s">
        <v>1710</v>
      </c>
      <c r="I508" s="50"/>
      <c r="J508" s="50" t="s">
        <v>2865</v>
      </c>
      <c r="K508" s="50"/>
      <c r="L508" s="50"/>
      <c r="M508" s="50"/>
      <c r="N508" s="50"/>
      <c r="O508" s="50"/>
      <c r="P508" s="50"/>
      <c r="Q508" s="50"/>
      <c r="R508" s="50"/>
      <c r="S508" s="50"/>
      <c r="T508" s="50"/>
      <c r="U508" s="50"/>
      <c r="V508" s="50"/>
      <c r="W508" s="50"/>
      <c r="X508" s="50"/>
      <c r="Y508" s="50"/>
      <c r="Z508" s="50"/>
      <c r="AA508" s="50"/>
      <c r="AB508" s="50"/>
      <c r="AC508" s="50"/>
    </row>
    <row r="509">
      <c r="A509" s="48" t="s">
        <v>2648</v>
      </c>
      <c r="B509" s="49" t="s">
        <v>3294</v>
      </c>
      <c r="C509" s="48" t="s">
        <v>3295</v>
      </c>
      <c r="D509" s="50" t="str">
        <f>IFERROR(__xludf.DUMMYFUNCTION("""COMPUTED_VALUE"""),"Suruga")</f>
        <v>Suruga</v>
      </c>
      <c r="E509" s="50"/>
      <c r="F509" s="50" t="s">
        <v>3295</v>
      </c>
      <c r="G509" s="50" t="s">
        <v>3295</v>
      </c>
      <c r="H509" s="50" t="s">
        <v>1710</v>
      </c>
      <c r="I509" s="50"/>
      <c r="J509" s="50" t="s">
        <v>2865</v>
      </c>
      <c r="K509" s="50"/>
      <c r="L509" s="50"/>
      <c r="M509" s="50"/>
      <c r="N509" s="50"/>
      <c r="O509" s="50"/>
      <c r="P509" s="50"/>
      <c r="Q509" s="50"/>
      <c r="R509" s="50"/>
      <c r="S509" s="50"/>
      <c r="T509" s="50"/>
      <c r="U509" s="50"/>
      <c r="V509" s="50"/>
      <c r="W509" s="50"/>
      <c r="X509" s="50"/>
      <c r="Y509" s="50"/>
      <c r="Z509" s="50"/>
      <c r="AA509" s="50"/>
      <c r="AB509" s="50"/>
      <c r="AC509" s="50"/>
    </row>
    <row r="510">
      <c r="A510" s="48" t="s">
        <v>2648</v>
      </c>
      <c r="B510" s="49" t="s">
        <v>3296</v>
      </c>
      <c r="C510" s="48" t="s">
        <v>3297</v>
      </c>
      <c r="D510" s="50" t="str">
        <f>IFERROR(__xludf.DUMMYFUNCTION("""COMPUTED_VALUE"""),"Triomphe")</f>
        <v>Triomphe</v>
      </c>
      <c r="E510" s="50"/>
      <c r="F510" s="50" t="s">
        <v>3297</v>
      </c>
      <c r="G510" s="50" t="s">
        <v>3297</v>
      </c>
      <c r="H510" s="50" t="s">
        <v>1710</v>
      </c>
      <c r="I510" s="50"/>
      <c r="J510" s="50" t="s">
        <v>2865</v>
      </c>
      <c r="K510" s="50"/>
      <c r="L510" s="50"/>
      <c r="M510" s="50"/>
      <c r="N510" s="50"/>
      <c r="O510" s="50"/>
      <c r="P510" s="50"/>
      <c r="Q510" s="50"/>
      <c r="R510" s="50"/>
      <c r="S510" s="50"/>
      <c r="T510" s="50"/>
      <c r="U510" s="50"/>
      <c r="V510" s="50"/>
      <c r="W510" s="50"/>
      <c r="X510" s="50"/>
      <c r="Y510" s="50"/>
      <c r="Z510" s="50"/>
      <c r="AA510" s="50"/>
      <c r="AB510" s="50"/>
      <c r="AC510" s="50"/>
    </row>
    <row r="511">
      <c r="A511" s="48" t="s">
        <v>2648</v>
      </c>
      <c r="B511" s="49" t="s">
        <v>3298</v>
      </c>
      <c r="C511" s="48" t="s">
        <v>3299</v>
      </c>
      <c r="D511" s="50" t="str">
        <f>IFERROR(__xludf.DUMMYFUNCTION("""COMPUTED_VALUE"""),"Pépite D'Or")</f>
        <v>Pépite D'Or</v>
      </c>
      <c r="E511" s="50"/>
      <c r="F511" s="50" t="s">
        <v>3299</v>
      </c>
      <c r="G511" s="50" t="s">
        <v>3299</v>
      </c>
      <c r="H511" s="50" t="s">
        <v>1710</v>
      </c>
      <c r="I511" s="50"/>
      <c r="J511" s="50" t="s">
        <v>2880</v>
      </c>
      <c r="K511" s="50"/>
      <c r="L511" s="50"/>
      <c r="M511" s="50"/>
      <c r="N511" s="50"/>
      <c r="O511" s="50"/>
      <c r="P511" s="50"/>
      <c r="Q511" s="50"/>
      <c r="R511" s="50"/>
      <c r="S511" s="50"/>
      <c r="T511" s="50"/>
      <c r="U511" s="50"/>
      <c r="V511" s="50"/>
      <c r="W511" s="50"/>
      <c r="X511" s="50"/>
      <c r="Y511" s="50"/>
      <c r="Z511" s="50"/>
      <c r="AA511" s="50"/>
      <c r="AB511" s="50"/>
      <c r="AC511" s="50"/>
    </row>
    <row r="512">
      <c r="A512" s="48" t="s">
        <v>2648</v>
      </c>
      <c r="B512" s="49" t="s">
        <v>3300</v>
      </c>
      <c r="C512" s="48" t="s">
        <v>3301</v>
      </c>
      <c r="D512" s="50" t="str">
        <f>IFERROR(__xludf.DUMMYFUNCTION("""COMPUTED_VALUE"""),"Astoria Green")</f>
        <v>Astoria Green</v>
      </c>
      <c r="E512" s="50"/>
      <c r="F512" s="50" t="s">
        <v>3301</v>
      </c>
      <c r="G512" s="50" t="s">
        <v>3301</v>
      </c>
      <c r="H512" s="50" t="s">
        <v>1710</v>
      </c>
      <c r="I512" s="50"/>
      <c r="J512" s="50" t="s">
        <v>2907</v>
      </c>
      <c r="K512" s="50"/>
      <c r="L512" s="50"/>
      <c r="M512" s="50"/>
      <c r="N512" s="50"/>
      <c r="O512" s="50"/>
      <c r="P512" s="50"/>
      <c r="Q512" s="50"/>
      <c r="R512" s="50"/>
      <c r="S512" s="50"/>
      <c r="T512" s="50"/>
      <c r="U512" s="50"/>
      <c r="V512" s="50"/>
      <c r="W512" s="50"/>
      <c r="X512" s="50"/>
      <c r="Y512" s="50"/>
      <c r="Z512" s="50"/>
      <c r="AA512" s="50"/>
      <c r="AB512" s="50"/>
      <c r="AC512" s="50"/>
    </row>
    <row r="513">
      <c r="A513" s="48" t="s">
        <v>2648</v>
      </c>
      <c r="B513" s="49" t="s">
        <v>3302</v>
      </c>
      <c r="C513" s="48" t="s">
        <v>3303</v>
      </c>
      <c r="D513" s="50" t="str">
        <f>IFERROR(__xludf.DUMMYFUNCTION("""COMPUTED_VALUE"""),"Battaglia Green")</f>
        <v>Battaglia Green</v>
      </c>
      <c r="E513" s="50"/>
      <c r="F513" s="50" t="s">
        <v>3303</v>
      </c>
      <c r="G513" s="50" t="s">
        <v>3303</v>
      </c>
      <c r="H513" s="50" t="s">
        <v>1710</v>
      </c>
      <c r="I513" s="50"/>
      <c r="J513" s="50" t="s">
        <v>2907</v>
      </c>
      <c r="K513" s="50"/>
      <c r="L513" s="50"/>
      <c r="M513" s="50"/>
      <c r="N513" s="50"/>
      <c r="O513" s="50"/>
      <c r="P513" s="50"/>
      <c r="Q513" s="50"/>
      <c r="R513" s="50"/>
      <c r="S513" s="50"/>
      <c r="T513" s="50"/>
      <c r="U513" s="50"/>
      <c r="V513" s="50"/>
      <c r="W513" s="50"/>
      <c r="X513" s="50"/>
      <c r="Y513" s="50"/>
      <c r="Z513" s="50"/>
      <c r="AA513" s="50"/>
      <c r="AB513" s="50"/>
      <c r="AC513" s="50"/>
    </row>
    <row r="514">
      <c r="A514" s="48" t="s">
        <v>2648</v>
      </c>
      <c r="B514" s="49" t="s">
        <v>3304</v>
      </c>
      <c r="C514" s="48" t="s">
        <v>3305</v>
      </c>
      <c r="D514" s="50" t="str">
        <f>IFERROR(__xludf.DUMMYFUNCTION("""COMPUTED_VALUE"""),"Bières Noires")</f>
        <v>Bières Noires</v>
      </c>
      <c r="E514" s="50"/>
      <c r="F514" s="50" t="s">
        <v>3305</v>
      </c>
      <c r="G514" s="50" t="s">
        <v>3305</v>
      </c>
      <c r="H514" s="50" t="s">
        <v>1710</v>
      </c>
      <c r="I514" s="50"/>
      <c r="J514" s="50" t="s">
        <v>2907</v>
      </c>
      <c r="K514" s="50"/>
      <c r="L514" s="50"/>
      <c r="M514" s="50"/>
      <c r="N514" s="50"/>
      <c r="O514" s="50"/>
      <c r="P514" s="50"/>
      <c r="Q514" s="50"/>
      <c r="R514" s="50"/>
      <c r="S514" s="50"/>
      <c r="T514" s="50"/>
      <c r="U514" s="50"/>
      <c r="V514" s="50"/>
      <c r="W514" s="50"/>
      <c r="X514" s="50"/>
      <c r="Y514" s="50"/>
      <c r="Z514" s="50"/>
      <c r="AA514" s="50"/>
      <c r="AB514" s="50"/>
      <c r="AC514" s="50"/>
    </row>
    <row r="515">
      <c r="A515" s="48" t="s">
        <v>2648</v>
      </c>
      <c r="B515" s="49" t="s">
        <v>3306</v>
      </c>
      <c r="C515" s="48" t="s">
        <v>3307</v>
      </c>
      <c r="D515" s="50" t="str">
        <f>IFERROR(__xludf.DUMMYFUNCTION("""COMPUTED_VALUE"""),"Kadota Blanc Avant-Gardiste")</f>
        <v>Kadota Blanc Avant-Gardiste</v>
      </c>
      <c r="E515" s="50"/>
      <c r="F515" s="50" t="s">
        <v>3307</v>
      </c>
      <c r="G515" s="50" t="s">
        <v>3307</v>
      </c>
      <c r="H515" s="50" t="s">
        <v>1710</v>
      </c>
      <c r="I515" s="50"/>
      <c r="J515" s="50" t="s">
        <v>2907</v>
      </c>
      <c r="K515" s="50"/>
      <c r="L515" s="50"/>
      <c r="M515" s="50"/>
      <c r="N515" s="50"/>
      <c r="O515" s="50"/>
      <c r="P515" s="50"/>
      <c r="Q515" s="50"/>
      <c r="R515" s="50"/>
      <c r="S515" s="50"/>
      <c r="T515" s="50"/>
      <c r="U515" s="50"/>
      <c r="V515" s="50"/>
      <c r="W515" s="50"/>
      <c r="X515" s="50"/>
      <c r="Y515" s="50"/>
      <c r="Z515" s="50"/>
      <c r="AA515" s="50"/>
      <c r="AB515" s="50"/>
      <c r="AC515" s="50"/>
    </row>
    <row r="516">
      <c r="A516" s="48" t="s">
        <v>2648</v>
      </c>
      <c r="B516" s="49" t="s">
        <v>3308</v>
      </c>
      <c r="C516" s="48" t="s">
        <v>3309</v>
      </c>
      <c r="D516" s="50" t="str">
        <f>IFERROR(__xludf.DUMMYFUNCTION("""COMPUTED_VALUE"""),"Constantin D'Algérie")</f>
        <v>Constantin D'Algérie</v>
      </c>
      <c r="E516" s="50"/>
      <c r="F516" s="50" t="s">
        <v>3309</v>
      </c>
      <c r="G516" s="50" t="s">
        <v>3309</v>
      </c>
      <c r="H516" s="50" t="s">
        <v>1710</v>
      </c>
      <c r="I516" s="50"/>
      <c r="J516" s="50" t="s">
        <v>2907</v>
      </c>
      <c r="K516" s="50"/>
      <c r="L516" s="50"/>
      <c r="M516" s="50"/>
      <c r="N516" s="50"/>
      <c r="O516" s="50"/>
      <c r="P516" s="50"/>
      <c r="Q516" s="50"/>
      <c r="R516" s="50"/>
      <c r="S516" s="50"/>
      <c r="T516" s="50"/>
      <c r="U516" s="50"/>
      <c r="V516" s="50"/>
      <c r="W516" s="50"/>
      <c r="X516" s="50"/>
      <c r="Y516" s="50"/>
      <c r="Z516" s="50"/>
      <c r="AA516" s="50"/>
      <c r="AB516" s="50"/>
      <c r="AC516" s="50"/>
    </row>
    <row r="517">
      <c r="A517" s="48" t="s">
        <v>2648</v>
      </c>
      <c r="B517" s="49" t="s">
        <v>3310</v>
      </c>
      <c r="C517" s="48" t="s">
        <v>3311</v>
      </c>
      <c r="D517" s="50" t="str">
        <f>IFERROR(__xludf.DUMMYFUNCTION("""COMPUTED_VALUE"""),"Golden Riverside")</f>
        <v>Golden Riverside</v>
      </c>
      <c r="E517" s="50"/>
      <c r="F517" s="50" t="s">
        <v>3311</v>
      </c>
      <c r="G517" s="50" t="s">
        <v>3311</v>
      </c>
      <c r="H517" s="50" t="s">
        <v>1710</v>
      </c>
      <c r="I517" s="50"/>
      <c r="J517" s="50" t="s">
        <v>2907</v>
      </c>
      <c r="K517" s="50"/>
      <c r="L517" s="50"/>
      <c r="M517" s="50"/>
      <c r="N517" s="50"/>
      <c r="O517" s="50"/>
      <c r="P517" s="50"/>
      <c r="Q517" s="50"/>
      <c r="R517" s="50"/>
      <c r="S517" s="50"/>
      <c r="T517" s="50"/>
      <c r="U517" s="50"/>
      <c r="V517" s="50"/>
      <c r="W517" s="50"/>
      <c r="X517" s="50"/>
      <c r="Y517" s="50"/>
      <c r="Z517" s="50"/>
      <c r="AA517" s="50"/>
      <c r="AB517" s="50"/>
      <c r="AC517" s="50"/>
    </row>
    <row r="518">
      <c r="A518" s="48" t="s">
        <v>2648</v>
      </c>
      <c r="B518" s="49" t="s">
        <v>3312</v>
      </c>
      <c r="C518" s="48" t="s">
        <v>3313</v>
      </c>
      <c r="D518" s="50" t="str">
        <f>IFERROR(__xludf.DUMMYFUNCTION("""COMPUTED_VALUE"""),"Izbat An Naj")</f>
        <v>Izbat An Naj</v>
      </c>
      <c r="E518" s="50"/>
      <c r="F518" s="50" t="s">
        <v>3313</v>
      </c>
      <c r="G518" s="50" t="s">
        <v>3313</v>
      </c>
      <c r="H518" s="50" t="s">
        <v>1710</v>
      </c>
      <c r="I518" s="50"/>
      <c r="J518" s="50" t="s">
        <v>2907</v>
      </c>
      <c r="K518" s="50"/>
      <c r="L518" s="50"/>
      <c r="M518" s="50"/>
      <c r="N518" s="50"/>
      <c r="O518" s="50"/>
      <c r="P518" s="50"/>
      <c r="Q518" s="50"/>
      <c r="R518" s="50"/>
      <c r="S518" s="50"/>
      <c r="T518" s="50"/>
      <c r="U518" s="50"/>
      <c r="V518" s="50"/>
      <c r="W518" s="50"/>
      <c r="X518" s="50"/>
      <c r="Y518" s="50"/>
      <c r="Z518" s="50"/>
      <c r="AA518" s="50"/>
      <c r="AB518" s="50"/>
      <c r="AC518" s="50"/>
    </row>
    <row r="519">
      <c r="A519" s="48" t="s">
        <v>2648</v>
      </c>
      <c r="B519" s="49" t="s">
        <v>3314</v>
      </c>
      <c r="C519" s="48" t="s">
        <v>3315</v>
      </c>
      <c r="D519" s="50" t="str">
        <f>IFERROR(__xludf.DUMMYFUNCTION("""COMPUTED_VALUE"""),"Médaille D'Or De Lsu")</f>
        <v>Médaille D'Or De Lsu</v>
      </c>
      <c r="E519" s="50"/>
      <c r="F519" s="50" t="s">
        <v>3315</v>
      </c>
      <c r="G519" s="50" t="s">
        <v>3315</v>
      </c>
      <c r="H519" s="50" t="s">
        <v>1710</v>
      </c>
      <c r="I519" s="50"/>
      <c r="J519" s="50" t="s">
        <v>2907</v>
      </c>
      <c r="K519" s="50"/>
      <c r="L519" s="50"/>
      <c r="M519" s="50"/>
      <c r="N519" s="50"/>
      <c r="O519" s="50"/>
      <c r="P519" s="50"/>
      <c r="Q519" s="50"/>
      <c r="R519" s="50"/>
      <c r="S519" s="50"/>
      <c r="T519" s="50"/>
      <c r="U519" s="50"/>
      <c r="V519" s="50"/>
      <c r="W519" s="50"/>
      <c r="X519" s="50"/>
      <c r="Y519" s="50"/>
      <c r="Z519" s="50"/>
      <c r="AA519" s="50"/>
      <c r="AB519" s="50"/>
      <c r="AC519" s="50"/>
    </row>
    <row r="520">
      <c r="A520" s="48" t="s">
        <v>2648</v>
      </c>
      <c r="B520" s="49" t="s">
        <v>3316</v>
      </c>
      <c r="C520" s="48" t="s">
        <v>3317</v>
      </c>
      <c r="D520" s="50" t="str">
        <f>IFERROR(__xludf.DUMMYFUNCTION("""COMPUTED_VALUE"""),"Ponte Tresa")</f>
        <v>Ponte Tresa</v>
      </c>
      <c r="E520" s="50"/>
      <c r="F520" s="50" t="s">
        <v>3317</v>
      </c>
      <c r="G520" s="50" t="s">
        <v>3317</v>
      </c>
      <c r="H520" s="50" t="s">
        <v>1710</v>
      </c>
      <c r="I520" s="50"/>
      <c r="J520" s="50" t="s">
        <v>2907</v>
      </c>
      <c r="K520" s="50"/>
      <c r="L520" s="50"/>
      <c r="M520" s="50"/>
      <c r="N520" s="50"/>
      <c r="O520" s="50"/>
      <c r="P520" s="50"/>
      <c r="Q520" s="50"/>
      <c r="R520" s="50"/>
      <c r="S520" s="50"/>
      <c r="T520" s="50"/>
      <c r="U520" s="50"/>
      <c r="V520" s="50"/>
      <c r="W520" s="50"/>
      <c r="X520" s="50"/>
      <c r="Y520" s="50"/>
      <c r="Z520" s="50"/>
      <c r="AA520" s="50"/>
      <c r="AB520" s="50"/>
      <c r="AC520" s="50"/>
    </row>
    <row r="521">
      <c r="A521" s="48" t="s">
        <v>2648</v>
      </c>
      <c r="B521" s="49" t="s">
        <v>3318</v>
      </c>
      <c r="C521" s="48" t="s">
        <v>3319</v>
      </c>
      <c r="D521" s="50" t="str">
        <f>IFERROR(__xludf.DUMMYFUNCTION("""COMPUTED_VALUE"""),"Fraise Verte")</f>
        <v>Fraise Verte</v>
      </c>
      <c r="E521" s="50"/>
      <c r="F521" s="50" t="s">
        <v>3319</v>
      </c>
      <c r="G521" s="50" t="s">
        <v>3319</v>
      </c>
      <c r="H521" s="50" t="s">
        <v>1710</v>
      </c>
      <c r="I521" s="50"/>
      <c r="J521" s="50" t="s">
        <v>2907</v>
      </c>
      <c r="K521" s="50"/>
      <c r="L521" s="50"/>
      <c r="M521" s="50"/>
      <c r="N521" s="50"/>
      <c r="O521" s="50"/>
      <c r="P521" s="50"/>
      <c r="Q521" s="50"/>
      <c r="R521" s="50"/>
      <c r="S521" s="50"/>
      <c r="T521" s="50"/>
      <c r="U521" s="50"/>
      <c r="V521" s="50"/>
      <c r="W521" s="50"/>
      <c r="X521" s="50"/>
      <c r="Y521" s="50"/>
      <c r="Z521" s="50"/>
      <c r="AA521" s="50"/>
      <c r="AB521" s="50"/>
      <c r="AC521" s="50"/>
    </row>
    <row r="522">
      <c r="A522" s="48" t="s">
        <v>2648</v>
      </c>
      <c r="B522" s="49" t="s">
        <v>3320</v>
      </c>
      <c r="C522" s="48" t="s">
        <v>3321</v>
      </c>
      <c r="D522" s="50" t="str">
        <f>IFERROR(__xludf.DUMMYFUNCTION("""COMPUTED_VALUE"""),"Violette Précoce")</f>
        <v>Violette Précoce</v>
      </c>
      <c r="E522" s="50"/>
      <c r="F522" s="50" t="s">
        <v>3321</v>
      </c>
      <c r="G522" s="50" t="s">
        <v>3321</v>
      </c>
      <c r="H522" s="50" t="s">
        <v>1710</v>
      </c>
      <c r="I522" s="50"/>
      <c r="J522" s="50" t="s">
        <v>3322</v>
      </c>
      <c r="K522" s="50"/>
      <c r="L522" s="50"/>
      <c r="M522" s="50"/>
      <c r="N522" s="50"/>
      <c r="O522" s="50"/>
      <c r="P522" s="50"/>
      <c r="Q522" s="50"/>
      <c r="R522" s="50"/>
      <c r="S522" s="50"/>
      <c r="T522" s="50"/>
      <c r="U522" s="50"/>
      <c r="V522" s="50"/>
      <c r="W522" s="50"/>
      <c r="X522" s="50"/>
      <c r="Y522" s="50"/>
      <c r="Z522" s="50"/>
      <c r="AA522" s="50"/>
      <c r="AB522" s="50"/>
      <c r="AC522" s="50"/>
    </row>
    <row r="523">
      <c r="A523" s="48" t="s">
        <v>2648</v>
      </c>
      <c r="B523" s="49" t="s">
        <v>3323</v>
      </c>
      <c r="C523" s="48" t="s">
        <v>3324</v>
      </c>
      <c r="D523" s="50" t="str">
        <f>IFERROR(__xludf.DUMMYFUNCTION("""COMPUTED_VALUE"""),"Vert D'Ischia")</f>
        <v>Vert D'Ischia</v>
      </c>
      <c r="E523" s="50"/>
      <c r="F523" s="50" t="s">
        <v>3324</v>
      </c>
      <c r="G523" s="50" t="s">
        <v>3324</v>
      </c>
      <c r="H523" s="50" t="s">
        <v>1710</v>
      </c>
      <c r="I523" s="50"/>
      <c r="J523" s="50" t="s">
        <v>3322</v>
      </c>
      <c r="K523" s="50"/>
      <c r="L523" s="50"/>
      <c r="M523" s="50"/>
      <c r="N523" s="50"/>
      <c r="O523" s="50"/>
      <c r="P523" s="50"/>
      <c r="Q523" s="50"/>
      <c r="R523" s="50"/>
      <c r="S523" s="50"/>
      <c r="T523" s="50"/>
      <c r="U523" s="50"/>
      <c r="V523" s="50"/>
      <c r="W523" s="50"/>
      <c r="X523" s="50"/>
      <c r="Y523" s="50"/>
      <c r="Z523" s="50"/>
      <c r="AA523" s="50"/>
      <c r="AB523" s="50"/>
      <c r="AC523" s="50"/>
    </row>
    <row r="524">
      <c r="A524" s="48" t="s">
        <v>2648</v>
      </c>
      <c r="B524" s="49" t="s">
        <v>3325</v>
      </c>
      <c r="C524" s="48" t="s">
        <v>3326</v>
      </c>
      <c r="D524" s="50" t="str">
        <f>IFERROR(__xludf.DUMMYFUNCTION("""COMPUTED_VALUE"""),"Sucrette")</f>
        <v>Sucrette</v>
      </c>
      <c r="E524" s="50"/>
      <c r="F524" s="50" t="s">
        <v>3326</v>
      </c>
      <c r="G524" s="50" t="s">
        <v>3326</v>
      </c>
      <c r="H524" s="50" t="s">
        <v>1710</v>
      </c>
      <c r="I524" s="50"/>
      <c r="J524" s="50" t="s">
        <v>3322</v>
      </c>
      <c r="K524" s="50"/>
      <c r="L524" s="50"/>
      <c r="M524" s="50"/>
      <c r="N524" s="50"/>
      <c r="O524" s="50"/>
      <c r="P524" s="50"/>
      <c r="Q524" s="50"/>
      <c r="R524" s="50"/>
      <c r="S524" s="50"/>
      <c r="T524" s="50"/>
      <c r="U524" s="50"/>
      <c r="V524" s="50"/>
      <c r="W524" s="50"/>
      <c r="X524" s="50"/>
      <c r="Y524" s="50"/>
      <c r="Z524" s="50"/>
      <c r="AA524" s="50"/>
      <c r="AB524" s="50"/>
      <c r="AC524" s="50"/>
    </row>
    <row r="525">
      <c r="A525" s="48" t="s">
        <v>2648</v>
      </c>
      <c r="B525" s="49" t="s">
        <v>3327</v>
      </c>
      <c r="C525" s="48" t="s">
        <v>3328</v>
      </c>
      <c r="D525" s="50" t="str">
        <f>IFERROR(__xludf.DUMMYFUNCTION("""COMPUTED_VALUE"""),"Costaricien Sauvage (Porte-Greffe)")</f>
        <v>Costaricien Sauvage (Porte-Greffe)</v>
      </c>
      <c r="E525" s="50"/>
      <c r="F525" s="50" t="s">
        <v>3328</v>
      </c>
      <c r="G525" s="50" t="s">
        <v>3328</v>
      </c>
      <c r="H525" s="50" t="s">
        <v>1710</v>
      </c>
      <c r="I525" s="50"/>
      <c r="J525" s="50" t="s">
        <v>2933</v>
      </c>
      <c r="K525" s="50"/>
      <c r="L525" s="50"/>
      <c r="M525" s="50"/>
      <c r="N525" s="50"/>
      <c r="O525" s="50"/>
      <c r="P525" s="50"/>
      <c r="Q525" s="50"/>
      <c r="R525" s="50"/>
      <c r="S525" s="50"/>
      <c r="T525" s="50"/>
      <c r="U525" s="50"/>
      <c r="V525" s="50"/>
      <c r="W525" s="50"/>
      <c r="X525" s="50"/>
      <c r="Y525" s="50"/>
      <c r="Z525" s="50"/>
      <c r="AA525" s="50"/>
      <c r="AB525" s="50"/>
      <c r="AC525" s="50"/>
    </row>
    <row r="526">
      <c r="A526" s="48" t="s">
        <v>2648</v>
      </c>
      <c r="B526" s="49" t="s">
        <v>3329</v>
      </c>
      <c r="C526" s="48" t="s">
        <v>3330</v>
      </c>
      <c r="D526" s="50" t="str">
        <f>IFERROR(__xludf.DUMMYFUNCTION("""COMPUTED_VALUE"""),"Kx2 Hawaï")</f>
        <v>Kx2 Hawaï</v>
      </c>
      <c r="E526" s="50"/>
      <c r="F526" s="50" t="s">
        <v>3330</v>
      </c>
      <c r="G526" s="50" t="s">
        <v>3330</v>
      </c>
      <c r="H526" s="50" t="s">
        <v>1710</v>
      </c>
      <c r="I526" s="50"/>
      <c r="J526" s="50" t="s">
        <v>3331</v>
      </c>
      <c r="K526" s="50"/>
      <c r="L526" s="50"/>
      <c r="M526" s="50"/>
      <c r="N526" s="50"/>
      <c r="O526" s="50"/>
      <c r="P526" s="50"/>
      <c r="Q526" s="50"/>
      <c r="R526" s="50"/>
      <c r="S526" s="50"/>
      <c r="T526" s="50"/>
      <c r="U526" s="50"/>
      <c r="V526" s="50"/>
      <c r="W526" s="50"/>
      <c r="X526" s="50"/>
      <c r="Y526" s="50"/>
      <c r="Z526" s="50"/>
      <c r="AA526" s="50"/>
      <c r="AB526" s="50"/>
      <c r="AC526" s="50"/>
    </row>
    <row r="527">
      <c r="A527" s="48" t="s">
        <v>2648</v>
      </c>
      <c r="B527" s="49" t="s">
        <v>3332</v>
      </c>
      <c r="C527" s="48" t="s">
        <v>3333</v>
      </c>
      <c r="D527" s="50" t="str">
        <f>IFERROR(__xludf.DUMMYFUNCTION("""COMPUTED_VALUE"""),"Hakip")</f>
        <v>Hakip</v>
      </c>
      <c r="E527" s="50"/>
      <c r="F527" s="50" t="s">
        <v>3333</v>
      </c>
      <c r="G527" s="50" t="s">
        <v>3333</v>
      </c>
      <c r="H527" s="50" t="s">
        <v>1710</v>
      </c>
      <c r="I527" s="50"/>
      <c r="J527" s="50" t="s">
        <v>2958</v>
      </c>
      <c r="K527" s="50"/>
      <c r="L527" s="50"/>
      <c r="M527" s="50"/>
      <c r="N527" s="50"/>
      <c r="O527" s="50"/>
      <c r="P527" s="50"/>
      <c r="Q527" s="50"/>
      <c r="R527" s="50"/>
      <c r="S527" s="50"/>
      <c r="T527" s="50"/>
      <c r="U527" s="50"/>
      <c r="V527" s="50"/>
      <c r="W527" s="50"/>
      <c r="X527" s="50"/>
      <c r="Y527" s="50"/>
      <c r="Z527" s="50"/>
      <c r="AA527" s="50"/>
      <c r="AB527" s="50"/>
      <c r="AC527" s="50"/>
    </row>
    <row r="528">
      <c r="A528" s="48" t="s">
        <v>2648</v>
      </c>
      <c r="B528" s="49" t="s">
        <v>3334</v>
      </c>
      <c r="C528" s="48" t="s">
        <v>3335</v>
      </c>
      <c r="D528" s="50" t="str">
        <f>IFERROR(__xludf.DUMMYFUNCTION("""COMPUTED_VALUE"""),"Chérie")</f>
        <v>Chérie</v>
      </c>
      <c r="E528" s="50"/>
      <c r="F528" s="50" t="s">
        <v>3335</v>
      </c>
      <c r="G528" s="50" t="s">
        <v>3335</v>
      </c>
      <c r="H528" s="50" t="s">
        <v>1710</v>
      </c>
      <c r="I528" s="50"/>
      <c r="J528" s="50" t="s">
        <v>2958</v>
      </c>
      <c r="K528" s="50"/>
      <c r="L528" s="50"/>
      <c r="M528" s="50"/>
      <c r="N528" s="50"/>
      <c r="O528" s="50"/>
      <c r="P528" s="50"/>
      <c r="Q528" s="50"/>
      <c r="R528" s="50"/>
      <c r="S528" s="50"/>
      <c r="T528" s="50"/>
      <c r="U528" s="50"/>
      <c r="V528" s="50"/>
      <c r="W528" s="50"/>
      <c r="X528" s="50"/>
      <c r="Y528" s="50"/>
      <c r="Z528" s="50"/>
      <c r="AA528" s="50"/>
      <c r="AB528" s="50"/>
      <c r="AC528" s="50"/>
    </row>
    <row r="529">
      <c r="A529" s="48" t="s">
        <v>2648</v>
      </c>
      <c r="B529" s="49" t="s">
        <v>3336</v>
      </c>
      <c r="C529" s="48" t="s">
        <v>3337</v>
      </c>
      <c r="D529" s="50" t="str">
        <f>IFERROR(__xludf.DUMMYFUNCTION("""COMPUTED_VALUE"""),"Trésor")</f>
        <v>Trésor</v>
      </c>
      <c r="E529" s="50"/>
      <c r="F529" s="50" t="s">
        <v>3337</v>
      </c>
      <c r="G529" s="50" t="s">
        <v>3337</v>
      </c>
      <c r="H529" s="50" t="s">
        <v>1710</v>
      </c>
      <c r="I529" s="50"/>
      <c r="J529" s="50" t="s">
        <v>2966</v>
      </c>
      <c r="K529" s="50"/>
      <c r="L529" s="50"/>
      <c r="M529" s="50"/>
      <c r="N529" s="50"/>
      <c r="O529" s="50"/>
      <c r="P529" s="50"/>
      <c r="Q529" s="50"/>
      <c r="R529" s="50"/>
      <c r="S529" s="50"/>
      <c r="T529" s="50"/>
      <c r="U529" s="50"/>
      <c r="V529" s="50"/>
      <c r="W529" s="50"/>
      <c r="X529" s="50"/>
      <c r="Y529" s="50"/>
      <c r="Z529" s="50"/>
      <c r="AA529" s="50"/>
      <c r="AB529" s="50"/>
      <c r="AC529" s="50"/>
    </row>
    <row r="530">
      <c r="A530" s="48" t="s">
        <v>2648</v>
      </c>
      <c r="B530" s="49" t="s">
        <v>3338</v>
      </c>
      <c r="C530" s="48" t="s">
        <v>3339</v>
      </c>
      <c r="D530" s="50" t="str">
        <f>IFERROR(__xludf.DUMMYFUNCTION("""COMPUTED_VALUE"""),"Mahdu")</f>
        <v>Mahdu</v>
      </c>
      <c r="E530" s="50"/>
      <c r="F530" s="50" t="s">
        <v>3339</v>
      </c>
      <c r="G530" s="50" t="s">
        <v>3339</v>
      </c>
      <c r="H530" s="50" t="s">
        <v>1710</v>
      </c>
      <c r="I530" s="50"/>
      <c r="J530" s="50" t="s">
        <v>2970</v>
      </c>
      <c r="K530" s="50"/>
      <c r="L530" s="50"/>
      <c r="M530" s="50"/>
      <c r="N530" s="50"/>
      <c r="O530" s="50"/>
      <c r="P530" s="50"/>
      <c r="Q530" s="50"/>
      <c r="R530" s="50"/>
      <c r="S530" s="50"/>
      <c r="T530" s="50"/>
      <c r="U530" s="50"/>
      <c r="V530" s="50"/>
      <c r="W530" s="50"/>
      <c r="X530" s="50"/>
      <c r="Y530" s="50"/>
      <c r="Z530" s="50"/>
      <c r="AA530" s="50"/>
      <c r="AB530" s="50"/>
      <c r="AC530" s="50"/>
    </row>
    <row r="531">
      <c r="A531" s="48" t="s">
        <v>2648</v>
      </c>
      <c r="B531" s="49" t="s">
        <v>3340</v>
      </c>
      <c r="C531" s="48" t="s">
        <v>3341</v>
      </c>
      <c r="D531" s="50" t="str">
        <f>IFERROR(__xludf.DUMMYFUNCTION("""COMPUTED_VALUE"""),"Malika")</f>
        <v>Malika</v>
      </c>
      <c r="E531" s="50"/>
      <c r="F531" s="50" t="s">
        <v>3341</v>
      </c>
      <c r="G531" s="50" t="s">
        <v>3341</v>
      </c>
      <c r="H531" s="50" t="s">
        <v>1710</v>
      </c>
      <c r="I531" s="50"/>
      <c r="J531" s="50" t="s">
        <v>2970</v>
      </c>
      <c r="K531" s="50"/>
      <c r="L531" s="50"/>
      <c r="M531" s="50"/>
      <c r="N531" s="50"/>
      <c r="O531" s="50"/>
      <c r="P531" s="50"/>
      <c r="Q531" s="50"/>
      <c r="R531" s="50"/>
      <c r="S531" s="50"/>
      <c r="T531" s="50"/>
      <c r="U531" s="50"/>
      <c r="V531" s="50"/>
      <c r="W531" s="50"/>
      <c r="X531" s="50"/>
      <c r="Y531" s="50"/>
      <c r="Z531" s="50"/>
      <c r="AA531" s="50"/>
      <c r="AB531" s="50"/>
      <c r="AC531" s="50"/>
    </row>
    <row r="532">
      <c r="A532" s="48" t="s">
        <v>2648</v>
      </c>
      <c r="B532" s="49" t="s">
        <v>3342</v>
      </c>
      <c r="C532" s="48" t="s">
        <v>3343</v>
      </c>
      <c r="D532" s="50" t="str">
        <f>IFERROR(__xludf.DUMMYFUNCTION("""COMPUTED_VALUE"""),"Nom Doc Mai")</f>
        <v>Nom Doc Mai</v>
      </c>
      <c r="E532" s="50"/>
      <c r="F532" s="50" t="s">
        <v>3343</v>
      </c>
      <c r="G532" s="50" t="s">
        <v>3343</v>
      </c>
      <c r="H532" s="50" t="s">
        <v>1710</v>
      </c>
      <c r="I532" s="50"/>
      <c r="J532" s="50" t="s">
        <v>2970</v>
      </c>
      <c r="K532" s="50"/>
      <c r="L532" s="50"/>
      <c r="M532" s="50"/>
      <c r="N532" s="50"/>
      <c r="O532" s="50"/>
      <c r="P532" s="50"/>
      <c r="Q532" s="50"/>
      <c r="R532" s="50"/>
      <c r="S532" s="50"/>
      <c r="T532" s="50"/>
      <c r="U532" s="50"/>
      <c r="V532" s="50"/>
      <c r="W532" s="50"/>
      <c r="X532" s="50"/>
      <c r="Y532" s="50"/>
      <c r="Z532" s="50"/>
      <c r="AA532" s="50"/>
      <c r="AB532" s="50"/>
      <c r="AC532" s="50"/>
    </row>
    <row r="533">
      <c r="A533" s="48" t="s">
        <v>2648</v>
      </c>
      <c r="B533" s="49" t="s">
        <v>3344</v>
      </c>
      <c r="C533" s="48" t="s">
        <v>3345</v>
      </c>
      <c r="D533" s="50" t="str">
        <f>IFERROR(__xludf.DUMMYFUNCTION("""COMPUTED_VALUE"""),"Alano")</f>
        <v>Alano</v>
      </c>
      <c r="E533" s="50"/>
      <c r="F533" s="50" t="s">
        <v>3345</v>
      </c>
      <c r="G533" s="50" t="s">
        <v>3345</v>
      </c>
      <c r="H533" s="50" t="s">
        <v>1710</v>
      </c>
      <c r="I533" s="50"/>
      <c r="J533" s="50" t="s">
        <v>2974</v>
      </c>
      <c r="K533" s="50"/>
      <c r="L533" s="50"/>
      <c r="M533" s="50"/>
      <c r="N533" s="50"/>
      <c r="O533" s="50"/>
      <c r="P533" s="50"/>
      <c r="Q533" s="50"/>
      <c r="R533" s="50"/>
      <c r="S533" s="50"/>
      <c r="T533" s="50"/>
      <c r="U533" s="50"/>
      <c r="V533" s="50"/>
      <c r="W533" s="50"/>
      <c r="X533" s="50"/>
      <c r="Y533" s="50"/>
      <c r="Z533" s="50"/>
      <c r="AA533" s="50"/>
      <c r="AB533" s="50"/>
      <c r="AC533" s="50"/>
    </row>
    <row r="534">
      <c r="A534" s="48" t="s">
        <v>2648</v>
      </c>
      <c r="B534" s="49" t="s">
        <v>3346</v>
      </c>
      <c r="C534" s="48" t="s">
        <v>3347</v>
      </c>
      <c r="D534" s="50" t="str">
        <f>IFERROR(__xludf.DUMMYFUNCTION("""COMPUTED_VALUE"""),"Sucre Roux")</f>
        <v>Sucre Roux</v>
      </c>
      <c r="E534" s="50"/>
      <c r="F534" s="50" t="s">
        <v>3347</v>
      </c>
      <c r="G534" s="50" t="s">
        <v>3347</v>
      </c>
      <c r="H534" s="50" t="s">
        <v>1710</v>
      </c>
      <c r="I534" s="50"/>
      <c r="J534" s="50" t="s">
        <v>2974</v>
      </c>
      <c r="K534" s="50"/>
      <c r="L534" s="50"/>
      <c r="M534" s="50"/>
      <c r="N534" s="50"/>
      <c r="O534" s="50"/>
      <c r="P534" s="50"/>
      <c r="Q534" s="50"/>
      <c r="R534" s="50"/>
      <c r="S534" s="50"/>
      <c r="T534" s="50"/>
      <c r="U534" s="50"/>
      <c r="V534" s="50"/>
      <c r="W534" s="50"/>
      <c r="X534" s="50"/>
      <c r="Y534" s="50"/>
      <c r="Z534" s="50"/>
      <c r="AA534" s="50"/>
      <c r="AB534" s="50"/>
      <c r="AC534" s="50"/>
    </row>
    <row r="535">
      <c r="A535" s="48" t="s">
        <v>2648</v>
      </c>
      <c r="B535" s="49" t="s">
        <v>3348</v>
      </c>
      <c r="C535" s="48" t="s">
        <v>3349</v>
      </c>
      <c r="D535" s="50" t="str">
        <f>IFERROR(__xludf.DUMMYFUNCTION("""COMPUTED_VALUE"""),"Caramel Au Beurre")</f>
        <v>Caramel Au Beurre</v>
      </c>
      <c r="E535" s="50"/>
      <c r="F535" s="50" t="s">
        <v>3349</v>
      </c>
      <c r="G535" s="50" t="s">
        <v>3349</v>
      </c>
      <c r="H535" s="50" t="s">
        <v>1710</v>
      </c>
      <c r="I535" s="50"/>
      <c r="J535" s="50" t="s">
        <v>2974</v>
      </c>
      <c r="K535" s="50"/>
      <c r="L535" s="50"/>
      <c r="M535" s="50"/>
      <c r="N535" s="50"/>
      <c r="O535" s="50"/>
      <c r="P535" s="50"/>
      <c r="Q535" s="50"/>
      <c r="R535" s="50"/>
      <c r="S535" s="50"/>
      <c r="T535" s="50"/>
      <c r="U535" s="50"/>
      <c r="V535" s="50"/>
      <c r="W535" s="50"/>
      <c r="X535" s="50"/>
      <c r="Y535" s="50"/>
      <c r="Z535" s="50"/>
      <c r="AA535" s="50"/>
      <c r="AB535" s="50"/>
      <c r="AC535" s="50"/>
    </row>
    <row r="536">
      <c r="A536" s="48" t="s">
        <v>2648</v>
      </c>
      <c r="B536" s="49" t="s">
        <v>3350</v>
      </c>
      <c r="C536" s="48" t="s">
        <v>3351</v>
      </c>
      <c r="D536" s="50" t="str">
        <f>IFERROR(__xludf.DUMMYFUNCTION("""COMPUTED_VALUE"""),"Campechiana")</f>
        <v>Campechiana</v>
      </c>
      <c r="E536" s="50"/>
      <c r="F536" s="50" t="s">
        <v>3351</v>
      </c>
      <c r="G536" s="50" t="s">
        <v>3351</v>
      </c>
      <c r="H536" s="50" t="s">
        <v>1710</v>
      </c>
      <c r="I536" s="50"/>
      <c r="J536" s="50" t="s">
        <v>2974</v>
      </c>
      <c r="K536" s="50"/>
      <c r="L536" s="50"/>
      <c r="M536" s="50"/>
      <c r="N536" s="50"/>
      <c r="O536" s="50"/>
      <c r="P536" s="50"/>
      <c r="Q536" s="50"/>
      <c r="R536" s="50"/>
      <c r="S536" s="50"/>
      <c r="T536" s="50"/>
      <c r="U536" s="50"/>
      <c r="V536" s="50"/>
      <c r="W536" s="50"/>
      <c r="X536" s="50"/>
      <c r="Y536" s="50"/>
      <c r="Z536" s="50"/>
      <c r="AA536" s="50"/>
      <c r="AB536" s="50"/>
      <c r="AC536" s="50"/>
    </row>
    <row r="537">
      <c r="A537" s="48" t="s">
        <v>2648</v>
      </c>
      <c r="B537" s="49" t="s">
        <v>3352</v>
      </c>
      <c r="C537" s="48" t="s">
        <v>3353</v>
      </c>
      <c r="D537" s="50" t="str">
        <f>IFERROR(__xludf.DUMMYFUNCTION("""COMPUTED_VALUE"""),"Makok")</f>
        <v>Makok</v>
      </c>
      <c r="E537" s="50"/>
      <c r="F537" s="50" t="s">
        <v>3353</v>
      </c>
      <c r="G537" s="50" t="s">
        <v>3353</v>
      </c>
      <c r="H537" s="50" t="s">
        <v>1710</v>
      </c>
      <c r="I537" s="50"/>
      <c r="J537" s="50" t="s">
        <v>2974</v>
      </c>
      <c r="K537" s="50"/>
      <c r="L537" s="50"/>
      <c r="M537" s="50"/>
      <c r="N537" s="50"/>
      <c r="O537" s="50"/>
      <c r="P537" s="50"/>
      <c r="Q537" s="50"/>
      <c r="R537" s="50"/>
      <c r="S537" s="50"/>
      <c r="T537" s="50"/>
      <c r="U537" s="50"/>
      <c r="V537" s="50"/>
      <c r="W537" s="50"/>
      <c r="X537" s="50"/>
      <c r="Y537" s="50"/>
      <c r="Z537" s="50"/>
      <c r="AA537" s="50"/>
      <c r="AB537" s="50"/>
      <c r="AC537" s="50"/>
    </row>
    <row r="538">
      <c r="A538" s="48" t="s">
        <v>2648</v>
      </c>
      <c r="B538" s="49" t="s">
        <v>3354</v>
      </c>
      <c r="C538" s="48" t="s">
        <v>3355</v>
      </c>
      <c r="D538" s="50" t="str">
        <f>IFERROR(__xludf.DUMMYFUNCTION("""COMPUTED_VALUE"""),"Molix")</f>
        <v>Molix</v>
      </c>
      <c r="E538" s="50"/>
      <c r="F538" s="50" t="s">
        <v>3355</v>
      </c>
      <c r="G538" s="50" t="s">
        <v>3355</v>
      </c>
      <c r="H538" s="50" t="s">
        <v>1710</v>
      </c>
      <c r="I538" s="50"/>
      <c r="J538" s="50" t="s">
        <v>2974</v>
      </c>
      <c r="K538" s="50"/>
      <c r="L538" s="50"/>
      <c r="M538" s="50"/>
      <c r="N538" s="50"/>
      <c r="O538" s="50"/>
      <c r="P538" s="50"/>
      <c r="Q538" s="50"/>
      <c r="R538" s="50"/>
      <c r="S538" s="50"/>
      <c r="T538" s="50"/>
      <c r="U538" s="50"/>
      <c r="V538" s="50"/>
      <c r="W538" s="50"/>
      <c r="X538" s="50"/>
      <c r="Y538" s="50"/>
      <c r="Z538" s="50"/>
      <c r="AA538" s="50"/>
      <c r="AB538" s="50"/>
      <c r="AC538" s="50"/>
    </row>
    <row r="539">
      <c r="A539" s="48" t="s">
        <v>2648</v>
      </c>
      <c r="B539" s="49" t="s">
        <v>3356</v>
      </c>
      <c r="C539" s="48" t="s">
        <v>3357</v>
      </c>
      <c r="D539" s="50" t="str">
        <f>IFERROR(__xludf.DUMMYFUNCTION("""COMPUTED_VALUE"""),"Morena")</f>
        <v>Morena</v>
      </c>
      <c r="E539" s="50"/>
      <c r="F539" s="50" t="s">
        <v>3357</v>
      </c>
      <c r="G539" s="50" t="s">
        <v>3357</v>
      </c>
      <c r="H539" s="50" t="s">
        <v>1710</v>
      </c>
      <c r="I539" s="50"/>
      <c r="J539" s="50" t="s">
        <v>2974</v>
      </c>
      <c r="K539" s="50"/>
      <c r="L539" s="50"/>
      <c r="M539" s="50"/>
      <c r="N539" s="50"/>
      <c r="O539" s="50"/>
      <c r="P539" s="50"/>
      <c r="Q539" s="50"/>
      <c r="R539" s="50"/>
      <c r="S539" s="50"/>
      <c r="T539" s="50"/>
      <c r="U539" s="50"/>
      <c r="V539" s="50"/>
      <c r="W539" s="50"/>
      <c r="X539" s="50"/>
      <c r="Y539" s="50"/>
      <c r="Z539" s="50"/>
      <c r="AA539" s="50"/>
      <c r="AB539" s="50"/>
      <c r="AC539" s="50"/>
    </row>
    <row r="540">
      <c r="A540" s="48" t="s">
        <v>2648</v>
      </c>
      <c r="B540" s="49" t="s">
        <v>3358</v>
      </c>
      <c r="C540" s="48" t="s">
        <v>3359</v>
      </c>
      <c r="D540" s="50" t="str">
        <f>IFERROR(__xludf.DUMMYFUNCTION("""COMPUTED_VALUE"""),"Tikal")</f>
        <v>Tikal</v>
      </c>
      <c r="E540" s="50"/>
      <c r="F540" s="50" t="s">
        <v>3359</v>
      </c>
      <c r="G540" s="50" t="s">
        <v>3359</v>
      </c>
      <c r="H540" s="50" t="s">
        <v>1710</v>
      </c>
      <c r="I540" s="50"/>
      <c r="J540" s="50" t="s">
        <v>2974</v>
      </c>
      <c r="K540" s="50"/>
      <c r="L540" s="50"/>
      <c r="M540" s="50"/>
      <c r="N540" s="50"/>
      <c r="O540" s="50"/>
      <c r="P540" s="50"/>
      <c r="Q540" s="50"/>
      <c r="R540" s="50"/>
      <c r="S540" s="50"/>
      <c r="T540" s="50"/>
      <c r="U540" s="50"/>
      <c r="V540" s="50"/>
      <c r="W540" s="50"/>
      <c r="X540" s="50"/>
      <c r="Y540" s="50"/>
      <c r="Z540" s="50"/>
      <c r="AA540" s="50"/>
      <c r="AB540" s="50"/>
      <c r="AC540" s="50"/>
    </row>
    <row r="541">
      <c r="A541" s="48" t="s">
        <v>2648</v>
      </c>
      <c r="B541" s="49" t="s">
        <v>3360</v>
      </c>
      <c r="C541" s="48" t="s">
        <v>3361</v>
      </c>
      <c r="D541" s="50" t="str">
        <f>IFERROR(__xludf.DUMMYFUNCTION("""COMPUTED_VALUE"""),"Varigué")</f>
        <v>Varigué</v>
      </c>
      <c r="E541" s="50"/>
      <c r="F541" s="50" t="s">
        <v>3361</v>
      </c>
      <c r="G541" s="50" t="s">
        <v>3361</v>
      </c>
      <c r="H541" s="50" t="s">
        <v>1710</v>
      </c>
      <c r="I541" s="50"/>
      <c r="J541" s="50" t="s">
        <v>2974</v>
      </c>
      <c r="K541" s="50"/>
      <c r="L541" s="50"/>
      <c r="M541" s="50"/>
      <c r="N541" s="50"/>
      <c r="O541" s="50"/>
      <c r="P541" s="50"/>
      <c r="Q541" s="50"/>
      <c r="R541" s="50"/>
      <c r="S541" s="50"/>
      <c r="T541" s="50"/>
      <c r="U541" s="50"/>
      <c r="V541" s="50"/>
      <c r="W541" s="50"/>
      <c r="X541" s="50"/>
      <c r="Y541" s="50"/>
      <c r="Z541" s="50"/>
      <c r="AA541" s="50"/>
      <c r="AB541" s="50"/>
      <c r="AC541" s="50"/>
    </row>
    <row r="542">
      <c r="A542" s="48" t="s">
        <v>2648</v>
      </c>
      <c r="B542" s="49" t="s">
        <v>3362</v>
      </c>
      <c r="C542" s="48" t="s">
        <v>3363</v>
      </c>
      <c r="D542" s="50" t="str">
        <f>IFERROR(__xludf.DUMMYFUNCTION("""COMPUTED_VALUE"""),"Nain Remontant")</f>
        <v>Nain Remontant</v>
      </c>
      <c r="E542" s="50"/>
      <c r="F542" s="50" t="s">
        <v>3363</v>
      </c>
      <c r="G542" s="50" t="s">
        <v>3363</v>
      </c>
      <c r="H542" s="50" t="s">
        <v>1710</v>
      </c>
      <c r="I542" s="50"/>
      <c r="J542" s="50" t="s">
        <v>2985</v>
      </c>
      <c r="K542" s="50"/>
      <c r="L542" s="50"/>
      <c r="M542" s="50"/>
      <c r="N542" s="50"/>
      <c r="O542" s="50"/>
      <c r="P542" s="50"/>
      <c r="Q542" s="50"/>
      <c r="R542" s="50"/>
      <c r="S542" s="50"/>
      <c r="T542" s="50"/>
      <c r="U542" s="50"/>
      <c r="V542" s="50"/>
      <c r="W542" s="50"/>
      <c r="X542" s="50"/>
      <c r="Y542" s="50"/>
      <c r="Z542" s="50"/>
      <c r="AA542" s="50"/>
      <c r="AB542" s="50"/>
      <c r="AC542" s="50"/>
    </row>
    <row r="543">
      <c r="A543" s="48" t="s">
        <v>2648</v>
      </c>
      <c r="B543" s="49" t="s">
        <v>3364</v>
      </c>
      <c r="C543" s="48" t="s">
        <v>3365</v>
      </c>
      <c r="D543" s="50" t="str">
        <f>IFERROR(__xludf.DUMMYFUNCTION("""COMPUTED_VALUE"""),"Blanc Tardif")</f>
        <v>Blanc Tardif</v>
      </c>
      <c r="E543" s="50"/>
      <c r="F543" s="50" t="s">
        <v>3365</v>
      </c>
      <c r="G543" s="50" t="s">
        <v>3365</v>
      </c>
      <c r="H543" s="50" t="s">
        <v>1710</v>
      </c>
      <c r="I543" s="50"/>
      <c r="J543" s="50" t="s">
        <v>2985</v>
      </c>
      <c r="K543" s="50"/>
      <c r="L543" s="50"/>
      <c r="M543" s="50"/>
      <c r="N543" s="50"/>
      <c r="O543" s="50"/>
      <c r="P543" s="50"/>
      <c r="Q543" s="50"/>
      <c r="R543" s="50"/>
      <c r="S543" s="50"/>
      <c r="T543" s="50"/>
      <c r="U543" s="50"/>
      <c r="V543" s="50"/>
      <c r="W543" s="50"/>
      <c r="X543" s="50"/>
      <c r="Y543" s="50"/>
      <c r="Z543" s="50"/>
      <c r="AA543" s="50"/>
      <c r="AB543" s="50"/>
      <c r="AC543" s="50"/>
    </row>
    <row r="544">
      <c r="A544" s="48" t="s">
        <v>2648</v>
      </c>
      <c r="B544" s="49" t="s">
        <v>3366</v>
      </c>
      <c r="C544" s="48" t="s">
        <v>3367</v>
      </c>
      <c r="D544" s="50" t="str">
        <f>IFERROR(__xludf.DUMMYFUNCTION("""COMPUTED_VALUE"""),"Long Blanc")</f>
        <v>Long Blanc</v>
      </c>
      <c r="E544" s="50"/>
      <c r="F544" s="50" t="s">
        <v>3367</v>
      </c>
      <c r="G544" s="50" t="s">
        <v>3367</v>
      </c>
      <c r="H544" s="50" t="s">
        <v>1710</v>
      </c>
      <c r="I544" s="50"/>
      <c r="J544" s="50" t="s">
        <v>2985</v>
      </c>
      <c r="K544" s="50"/>
      <c r="L544" s="50"/>
      <c r="M544" s="50"/>
      <c r="N544" s="50"/>
      <c r="O544" s="50"/>
      <c r="P544" s="50"/>
      <c r="Q544" s="50"/>
      <c r="R544" s="50"/>
      <c r="S544" s="50"/>
      <c r="T544" s="50"/>
      <c r="U544" s="50"/>
      <c r="V544" s="50"/>
      <c r="W544" s="50"/>
      <c r="X544" s="50"/>
      <c r="Y544" s="50"/>
      <c r="Z544" s="50"/>
      <c r="AA544" s="50"/>
      <c r="AB544" s="50"/>
      <c r="AC544" s="50"/>
    </row>
    <row r="545">
      <c r="A545" s="48" t="s">
        <v>2648</v>
      </c>
      <c r="B545" s="49" t="s">
        <v>3368</v>
      </c>
      <c r="C545" s="48" t="s">
        <v>3369</v>
      </c>
      <c r="D545" s="50" t="str">
        <f>IFERROR(__xludf.DUMMYFUNCTION("""COMPUTED_VALUE"""),"Doux Lever De Soleil - Jaune")</f>
        <v>Doux Lever De Soleil - Jaune</v>
      </c>
      <c r="E545" s="50"/>
      <c r="F545" s="50" t="s">
        <v>3369</v>
      </c>
      <c r="G545" s="50" t="s">
        <v>3369</v>
      </c>
      <c r="H545" s="50" t="s">
        <v>1710</v>
      </c>
      <c r="I545" s="50"/>
      <c r="J545" s="50" t="s">
        <v>3370</v>
      </c>
      <c r="K545" s="50"/>
      <c r="L545" s="50"/>
      <c r="M545" s="50"/>
      <c r="N545" s="50"/>
      <c r="O545" s="50"/>
      <c r="P545" s="50"/>
      <c r="Q545" s="50"/>
      <c r="R545" s="50"/>
      <c r="S545" s="50"/>
      <c r="T545" s="50"/>
      <c r="U545" s="50"/>
      <c r="V545" s="50"/>
      <c r="W545" s="50"/>
      <c r="X545" s="50"/>
      <c r="Y545" s="50"/>
      <c r="Z545" s="50"/>
      <c r="AA545" s="50"/>
      <c r="AB545" s="50"/>
      <c r="AC545" s="50"/>
    </row>
    <row r="546">
      <c r="A546" s="48" t="s">
        <v>2648</v>
      </c>
      <c r="B546" s="49" t="s">
        <v>3371</v>
      </c>
      <c r="C546" s="48" t="s">
        <v>3372</v>
      </c>
      <c r="D546" s="50" t="str">
        <f>IFERROR(__xludf.DUMMYFUNCTION("""COMPUTED_VALUE"""),"Australie")</f>
        <v>Australie</v>
      </c>
      <c r="E546" s="50"/>
      <c r="F546" s="50" t="s">
        <v>3372</v>
      </c>
      <c r="G546" s="50" t="s">
        <v>3372</v>
      </c>
      <c r="H546" s="50" t="s">
        <v>1710</v>
      </c>
      <c r="I546" s="50"/>
      <c r="J546" s="50" t="s">
        <v>1191</v>
      </c>
      <c r="K546" s="50"/>
      <c r="L546" s="50"/>
      <c r="M546" s="50"/>
      <c r="N546" s="50"/>
      <c r="O546" s="50"/>
      <c r="P546" s="50"/>
      <c r="Q546" s="50"/>
      <c r="R546" s="50"/>
      <c r="S546" s="50"/>
      <c r="T546" s="50"/>
      <c r="U546" s="50"/>
      <c r="V546" s="50"/>
      <c r="W546" s="50"/>
      <c r="X546" s="50"/>
      <c r="Y546" s="50"/>
      <c r="Z546" s="50"/>
      <c r="AA546" s="50"/>
      <c r="AB546" s="50"/>
      <c r="AC546" s="50"/>
    </row>
    <row r="547">
      <c r="A547" s="48" t="s">
        <v>2648</v>
      </c>
      <c r="B547" s="49" t="s">
        <v>3373</v>
      </c>
      <c r="C547" s="48" t="s">
        <v>3374</v>
      </c>
      <c r="D547" s="50" t="str">
        <f>IFERROR(__xludf.DUMMYFUNCTION("""COMPUTED_VALUE"""),"Lard")</f>
        <v>Lard</v>
      </c>
      <c r="E547" s="50"/>
      <c r="F547" s="50" t="s">
        <v>3374</v>
      </c>
      <c r="G547" s="50" t="s">
        <v>3374</v>
      </c>
      <c r="H547" s="50" t="s">
        <v>1710</v>
      </c>
      <c r="I547" s="50"/>
      <c r="J547" s="50" t="s">
        <v>1191</v>
      </c>
      <c r="K547" s="50"/>
      <c r="L547" s="50"/>
      <c r="M547" s="50"/>
      <c r="N547" s="50"/>
      <c r="O547" s="50"/>
      <c r="P547" s="50"/>
      <c r="Q547" s="50"/>
      <c r="R547" s="50"/>
      <c r="S547" s="50"/>
      <c r="T547" s="50"/>
      <c r="U547" s="50"/>
      <c r="V547" s="50"/>
      <c r="W547" s="50"/>
      <c r="X547" s="50"/>
      <c r="Y547" s="50"/>
      <c r="Z547" s="50"/>
      <c r="AA547" s="50"/>
      <c r="AB547" s="50"/>
      <c r="AC547" s="50"/>
    </row>
    <row r="548">
      <c r="A548" s="48" t="s">
        <v>2648</v>
      </c>
      <c r="B548" s="49" t="s">
        <v>3375</v>
      </c>
      <c r="C548" s="48" t="s">
        <v>3376</v>
      </c>
      <c r="D548" s="50" t="str">
        <f>IFERROR(__xludf.DUMMYFUNCTION("""COMPUTED_VALUE"""),"Bernecker")</f>
        <v>Bernecker</v>
      </c>
      <c r="E548" s="50"/>
      <c r="F548" s="50" t="s">
        <v>3376</v>
      </c>
      <c r="G548" s="50" t="s">
        <v>3376</v>
      </c>
      <c r="H548" s="50" t="s">
        <v>1710</v>
      </c>
      <c r="I548" s="50"/>
      <c r="J548" s="50" t="s">
        <v>1191</v>
      </c>
      <c r="K548" s="50"/>
      <c r="L548" s="50"/>
      <c r="M548" s="50"/>
      <c r="N548" s="50"/>
      <c r="O548" s="50"/>
      <c r="P548" s="50"/>
      <c r="Q548" s="50"/>
      <c r="R548" s="50"/>
      <c r="S548" s="50"/>
      <c r="T548" s="50"/>
      <c r="U548" s="50"/>
      <c r="V548" s="50"/>
      <c r="W548" s="50"/>
      <c r="X548" s="50"/>
      <c r="Y548" s="50"/>
      <c r="Z548" s="50"/>
      <c r="AA548" s="50"/>
      <c r="AB548" s="50"/>
      <c r="AC548" s="50"/>
    </row>
    <row r="549">
      <c r="A549" s="48" t="s">
        <v>2648</v>
      </c>
      <c r="B549" s="49" t="s">
        <v>3377</v>
      </c>
      <c r="C549" s="48" t="s">
        <v>3378</v>
      </c>
      <c r="D549" s="50" t="str">
        <f>IFERROR(__xludf.DUMMYFUNCTION("""COMPUTED_VALUE"""),"Brogdon")</f>
        <v>Brogdon</v>
      </c>
      <c r="E549" s="50"/>
      <c r="F549" s="50" t="s">
        <v>3378</v>
      </c>
      <c r="G549" s="50" t="s">
        <v>3378</v>
      </c>
      <c r="H549" s="50" t="s">
        <v>1710</v>
      </c>
      <c r="I549" s="50"/>
      <c r="J549" s="50" t="s">
        <v>1191</v>
      </c>
      <c r="K549" s="50"/>
      <c r="L549" s="50"/>
      <c r="M549" s="50"/>
      <c r="N549" s="50"/>
      <c r="O549" s="50"/>
      <c r="P549" s="50"/>
      <c r="Q549" s="50"/>
      <c r="R549" s="50"/>
      <c r="S549" s="50"/>
      <c r="T549" s="50"/>
      <c r="U549" s="50"/>
      <c r="V549" s="50"/>
      <c r="W549" s="50"/>
      <c r="X549" s="50"/>
      <c r="Y549" s="50"/>
      <c r="Z549" s="50"/>
      <c r="AA549" s="50"/>
      <c r="AB549" s="50"/>
      <c r="AC549" s="50"/>
    </row>
    <row r="550">
      <c r="A550" s="48" t="s">
        <v>2648</v>
      </c>
      <c r="B550" s="49" t="s">
        <v>3379</v>
      </c>
      <c r="C550" s="48" t="s">
        <v>3380</v>
      </c>
      <c r="D550" s="50" t="str">
        <f>IFERROR(__xludf.DUMMYFUNCTION("""COMPUTED_VALUE"""),"Brooks En Retard")</f>
        <v>Brooks En Retard</v>
      </c>
      <c r="E550" s="50"/>
      <c r="F550" s="50" t="s">
        <v>3380</v>
      </c>
      <c r="G550" s="50" t="s">
        <v>3380</v>
      </c>
      <c r="H550" s="50" t="s">
        <v>1710</v>
      </c>
      <c r="I550" s="50"/>
      <c r="J550" s="50" t="s">
        <v>1191</v>
      </c>
      <c r="K550" s="50"/>
      <c r="L550" s="50"/>
      <c r="M550" s="50"/>
      <c r="N550" s="50"/>
      <c r="O550" s="50"/>
      <c r="P550" s="50"/>
      <c r="Q550" s="50"/>
      <c r="R550" s="50"/>
      <c r="S550" s="50"/>
      <c r="T550" s="50"/>
      <c r="U550" s="50"/>
      <c r="V550" s="50"/>
      <c r="W550" s="50"/>
      <c r="X550" s="50"/>
      <c r="Y550" s="50"/>
      <c r="Z550" s="50"/>
      <c r="AA550" s="50"/>
      <c r="AB550" s="50"/>
      <c r="AC550" s="50"/>
    </row>
    <row r="551">
      <c r="A551" s="48" t="s">
        <v>2648</v>
      </c>
      <c r="B551" s="49" t="s">
        <v>3381</v>
      </c>
      <c r="C551" s="48" t="s">
        <v>3382</v>
      </c>
      <c r="D551" s="50" t="str">
        <f>IFERROR(__xludf.DUMMYFUNCTION("""COMPUTED_VALUE"""),"Mâle")</f>
        <v>Mâle</v>
      </c>
      <c r="E551" s="50"/>
      <c r="F551" s="50" t="s">
        <v>3382</v>
      </c>
      <c r="G551" s="50" t="s">
        <v>3382</v>
      </c>
      <c r="H551" s="50" t="s">
        <v>1710</v>
      </c>
      <c r="I551" s="50"/>
      <c r="J551" s="50" t="s">
        <v>1191</v>
      </c>
      <c r="K551" s="50"/>
      <c r="L551" s="50"/>
      <c r="M551" s="50"/>
      <c r="N551" s="50"/>
      <c r="O551" s="50"/>
      <c r="P551" s="50"/>
      <c r="Q551" s="50"/>
      <c r="R551" s="50"/>
      <c r="S551" s="50"/>
      <c r="T551" s="50"/>
      <c r="U551" s="50"/>
      <c r="V551" s="50"/>
      <c r="W551" s="50"/>
      <c r="X551" s="50"/>
      <c r="Y551" s="50"/>
      <c r="Z551" s="50"/>
      <c r="AA551" s="50"/>
      <c r="AB551" s="50"/>
      <c r="AC551" s="50"/>
    </row>
    <row r="552">
      <c r="A552" s="48" t="s">
        <v>2648</v>
      </c>
      <c r="B552" s="49" t="s">
        <v>3383</v>
      </c>
      <c r="C552" s="48" t="s">
        <v>3384</v>
      </c>
      <c r="D552" s="50" t="str">
        <f>IFERROR(__xludf.DUMMYFUNCTION("""COMPUTED_VALUE"""),"Catalina")</f>
        <v>Catalina</v>
      </c>
      <c r="E552" s="50"/>
      <c r="F552" s="50" t="s">
        <v>3384</v>
      </c>
      <c r="G552" s="50" t="s">
        <v>3384</v>
      </c>
      <c r="H552" s="50" t="s">
        <v>1710</v>
      </c>
      <c r="I552" s="50"/>
      <c r="J552" s="50" t="s">
        <v>1191</v>
      </c>
      <c r="K552" s="50"/>
      <c r="L552" s="50"/>
      <c r="M552" s="50"/>
      <c r="N552" s="50"/>
      <c r="O552" s="50"/>
      <c r="P552" s="50"/>
      <c r="Q552" s="50"/>
      <c r="R552" s="50"/>
      <c r="S552" s="50"/>
      <c r="T552" s="50"/>
      <c r="U552" s="50"/>
      <c r="V552" s="50"/>
      <c r="W552" s="50"/>
      <c r="X552" s="50"/>
      <c r="Y552" s="50"/>
      <c r="Z552" s="50"/>
      <c r="AA552" s="50"/>
      <c r="AB552" s="50"/>
      <c r="AC552" s="50"/>
    </row>
    <row r="553">
      <c r="A553" s="48" t="s">
        <v>2648</v>
      </c>
      <c r="B553" s="49" t="s">
        <v>3385</v>
      </c>
      <c r="C553" s="48" t="s">
        <v>3386</v>
      </c>
      <c r="D553" s="50" t="str">
        <f>IFERROR(__xludf.DUMMYFUNCTION("""COMPUTED_VALUE"""),"Choquette")</f>
        <v>Choquette</v>
      </c>
      <c r="E553" s="50"/>
      <c r="F553" s="50" t="s">
        <v>3386</v>
      </c>
      <c r="G553" s="50" t="s">
        <v>3386</v>
      </c>
      <c r="H553" s="50" t="s">
        <v>1710</v>
      </c>
      <c r="I553" s="50"/>
      <c r="J553" s="50" t="s">
        <v>1191</v>
      </c>
      <c r="K553" s="50"/>
      <c r="L553" s="50"/>
      <c r="M553" s="50"/>
      <c r="N553" s="50"/>
      <c r="O553" s="50"/>
      <c r="P553" s="50"/>
      <c r="Q553" s="50"/>
      <c r="R553" s="50"/>
      <c r="S553" s="50"/>
      <c r="T553" s="50"/>
      <c r="U553" s="50"/>
      <c r="V553" s="50"/>
      <c r="W553" s="50"/>
      <c r="X553" s="50"/>
      <c r="Y553" s="50"/>
      <c r="Z553" s="50"/>
      <c r="AA553" s="50"/>
      <c r="AB553" s="50"/>
      <c r="AC553" s="50"/>
    </row>
    <row r="554">
      <c r="A554" s="48" t="s">
        <v>2648</v>
      </c>
      <c r="B554" s="49" t="s">
        <v>3387</v>
      </c>
      <c r="C554" s="48" t="s">
        <v>3388</v>
      </c>
      <c r="D554" s="50" t="str">
        <f>IFERROR(__xludf.DUMMYFUNCTION("""COMPUTED_VALUE"""),"Jour")</f>
        <v>Jour</v>
      </c>
      <c r="E554" s="50"/>
      <c r="F554" s="50" t="s">
        <v>3388</v>
      </c>
      <c r="G554" s="50" t="s">
        <v>3388</v>
      </c>
      <c r="H554" s="50" t="s">
        <v>1710</v>
      </c>
      <c r="I554" s="50"/>
      <c r="J554" s="50" t="s">
        <v>1191</v>
      </c>
      <c r="K554" s="50"/>
      <c r="L554" s="50"/>
      <c r="M554" s="50"/>
      <c r="N554" s="50"/>
      <c r="O554" s="50"/>
      <c r="P554" s="50"/>
      <c r="Q554" s="50"/>
      <c r="R554" s="50"/>
      <c r="S554" s="50"/>
      <c r="T554" s="50"/>
      <c r="U554" s="50"/>
      <c r="V554" s="50"/>
      <c r="W554" s="50"/>
      <c r="X554" s="50"/>
      <c r="Y554" s="50"/>
      <c r="Z554" s="50"/>
      <c r="AA554" s="50"/>
      <c r="AB554" s="50"/>
      <c r="AC554" s="50"/>
    </row>
    <row r="555">
      <c r="A555" s="48" t="s">
        <v>2648</v>
      </c>
      <c r="B555" s="49" t="s">
        <v>3389</v>
      </c>
      <c r="C555" s="48" t="s">
        <v>3390</v>
      </c>
      <c r="D555" s="50" t="str">
        <f>IFERROR(__xludf.DUMMYFUNCTION("""COMPUTED_VALUE"""),"Donnie")</f>
        <v>Donnie</v>
      </c>
      <c r="E555" s="50"/>
      <c r="F555" s="50" t="s">
        <v>3390</v>
      </c>
      <c r="G555" s="50" t="s">
        <v>3390</v>
      </c>
      <c r="H555" s="50" t="s">
        <v>1710</v>
      </c>
      <c r="I555" s="50"/>
      <c r="J555" s="50" t="s">
        <v>1191</v>
      </c>
      <c r="K555" s="50"/>
      <c r="L555" s="50"/>
      <c r="M555" s="50"/>
      <c r="N555" s="50"/>
      <c r="O555" s="50"/>
      <c r="P555" s="50"/>
      <c r="Q555" s="50"/>
      <c r="R555" s="50"/>
      <c r="S555" s="50"/>
      <c r="T555" s="50"/>
      <c r="U555" s="50"/>
      <c r="V555" s="50"/>
      <c r="W555" s="50"/>
      <c r="X555" s="50"/>
      <c r="Y555" s="50"/>
      <c r="Z555" s="50"/>
      <c r="AA555" s="50"/>
      <c r="AB555" s="50"/>
      <c r="AC555" s="50"/>
    </row>
    <row r="556">
      <c r="A556" s="48" t="s">
        <v>2648</v>
      </c>
      <c r="B556" s="49" t="s">
        <v>3391</v>
      </c>
      <c r="C556" s="48" t="s">
        <v>3392</v>
      </c>
      <c r="D556" s="50" t="str">
        <f>IFERROR(__xludf.DUMMYFUNCTION("""COMPUTED_VALUE"""),"Dupuis")</f>
        <v>Dupuis</v>
      </c>
      <c r="E556" s="50"/>
      <c r="F556" s="50" t="s">
        <v>3392</v>
      </c>
      <c r="G556" s="50" t="s">
        <v>3392</v>
      </c>
      <c r="H556" s="50" t="s">
        <v>1710</v>
      </c>
      <c r="I556" s="50"/>
      <c r="J556" s="50" t="s">
        <v>1191</v>
      </c>
      <c r="K556" s="50"/>
      <c r="L556" s="50"/>
      <c r="M556" s="50"/>
      <c r="N556" s="50"/>
      <c r="O556" s="50"/>
      <c r="P556" s="50"/>
      <c r="Q556" s="50"/>
      <c r="R556" s="50"/>
      <c r="S556" s="50"/>
      <c r="T556" s="50"/>
      <c r="U556" s="50"/>
      <c r="V556" s="50"/>
      <c r="W556" s="50"/>
      <c r="X556" s="50"/>
      <c r="Y556" s="50"/>
      <c r="Z556" s="50"/>
      <c r="AA556" s="50"/>
      <c r="AB556" s="50"/>
      <c r="AC556" s="50"/>
    </row>
    <row r="557">
      <c r="A557" s="48" t="s">
        <v>2648</v>
      </c>
      <c r="B557" s="49" t="s">
        <v>3393</v>
      </c>
      <c r="C557" s="48" t="s">
        <v>3394</v>
      </c>
      <c r="D557" s="50" t="str">
        <f>IFERROR(__xludf.DUMMYFUNCTION("""COMPUTED_VALUE"""),"Expédition")</f>
        <v>Expédition</v>
      </c>
      <c r="E557" s="50"/>
      <c r="F557" s="50" t="s">
        <v>3394</v>
      </c>
      <c r="G557" s="50" t="s">
        <v>3394</v>
      </c>
      <c r="H557" s="50" t="s">
        <v>1710</v>
      </c>
      <c r="I557" s="50"/>
      <c r="J557" s="50" t="s">
        <v>1191</v>
      </c>
      <c r="K557" s="50"/>
      <c r="L557" s="50"/>
      <c r="M557" s="50"/>
      <c r="N557" s="50"/>
      <c r="O557" s="50"/>
      <c r="P557" s="50"/>
      <c r="Q557" s="50"/>
      <c r="R557" s="50"/>
      <c r="S557" s="50"/>
      <c r="T557" s="50"/>
      <c r="U557" s="50"/>
      <c r="V557" s="50"/>
      <c r="W557" s="50"/>
      <c r="X557" s="50"/>
      <c r="Y557" s="50"/>
      <c r="Z557" s="50"/>
      <c r="AA557" s="50"/>
      <c r="AB557" s="50"/>
      <c r="AC557" s="50"/>
    </row>
    <row r="558">
      <c r="A558" s="48" t="s">
        <v>2648</v>
      </c>
      <c r="B558" s="49" t="s">
        <v>3395</v>
      </c>
      <c r="C558" s="48" t="s">
        <v>3396</v>
      </c>
      <c r="D558" s="50" t="str">
        <f>IFERROR(__xludf.DUMMYFUNCTION("""COMPUTED_VALUE"""),"Fantastique")</f>
        <v>Fantastique</v>
      </c>
      <c r="E558" s="50"/>
      <c r="F558" s="50" t="s">
        <v>3396</v>
      </c>
      <c r="G558" s="50" t="s">
        <v>3396</v>
      </c>
      <c r="H558" s="50" t="s">
        <v>1710</v>
      </c>
      <c r="I558" s="50"/>
      <c r="J558" s="50" t="s">
        <v>1191</v>
      </c>
      <c r="K558" s="50"/>
      <c r="L558" s="50"/>
      <c r="M558" s="50"/>
      <c r="N558" s="50"/>
      <c r="O558" s="50"/>
      <c r="P558" s="50"/>
      <c r="Q558" s="50"/>
      <c r="R558" s="50"/>
      <c r="S558" s="50"/>
      <c r="T558" s="50"/>
      <c r="U558" s="50"/>
      <c r="V558" s="50"/>
      <c r="W558" s="50"/>
      <c r="X558" s="50"/>
      <c r="Y558" s="50"/>
      <c r="Z558" s="50"/>
      <c r="AA558" s="50"/>
      <c r="AB558" s="50"/>
      <c r="AC558" s="50"/>
    </row>
    <row r="559">
      <c r="A559" s="48" t="s">
        <v>2648</v>
      </c>
      <c r="B559" s="49" t="s">
        <v>3397</v>
      </c>
      <c r="C559" s="48" t="s">
        <v>3398</v>
      </c>
      <c r="D559" s="50" t="str">
        <f>IFERROR(__xludf.DUMMYFUNCTION("""COMPUTED_VALUE"""),"Hardee")</f>
        <v>Hardee</v>
      </c>
      <c r="E559" s="50"/>
      <c r="F559" s="50" t="s">
        <v>3398</v>
      </c>
      <c r="G559" s="50" t="s">
        <v>3398</v>
      </c>
      <c r="H559" s="50" t="s">
        <v>1710</v>
      </c>
      <c r="I559" s="50"/>
      <c r="J559" s="50" t="s">
        <v>1191</v>
      </c>
      <c r="K559" s="50"/>
      <c r="L559" s="50"/>
      <c r="M559" s="50"/>
      <c r="N559" s="50"/>
      <c r="O559" s="50"/>
      <c r="P559" s="50"/>
      <c r="Q559" s="50"/>
      <c r="R559" s="50"/>
      <c r="S559" s="50"/>
      <c r="T559" s="50"/>
      <c r="U559" s="50"/>
      <c r="V559" s="50"/>
      <c r="W559" s="50"/>
      <c r="X559" s="50"/>
      <c r="Y559" s="50"/>
      <c r="Z559" s="50"/>
      <c r="AA559" s="50"/>
      <c r="AB559" s="50"/>
      <c r="AC559" s="50"/>
    </row>
    <row r="560">
      <c r="A560" s="48" t="s">
        <v>2648</v>
      </c>
      <c r="B560" s="49" t="s">
        <v>3399</v>
      </c>
      <c r="C560" s="48" t="s">
        <v>3400</v>
      </c>
      <c r="D560" s="50" t="str">
        <f>IFERROR(__xludf.DUMMYFUNCTION("""COMPUTED_VALUE"""),"Havaluu D'Hawaï")</f>
        <v>Havaluu D'Hawaï</v>
      </c>
      <c r="E560" s="50"/>
      <c r="F560" s="50" t="s">
        <v>3400</v>
      </c>
      <c r="G560" s="50" t="s">
        <v>3400</v>
      </c>
      <c r="H560" s="50" t="s">
        <v>1710</v>
      </c>
      <c r="I560" s="50"/>
      <c r="J560" s="50" t="s">
        <v>1191</v>
      </c>
      <c r="K560" s="50"/>
      <c r="L560" s="50"/>
      <c r="M560" s="50"/>
      <c r="N560" s="50"/>
      <c r="O560" s="50"/>
      <c r="P560" s="50"/>
      <c r="Q560" s="50"/>
      <c r="R560" s="50"/>
      <c r="S560" s="50"/>
      <c r="T560" s="50"/>
      <c r="U560" s="50"/>
      <c r="V560" s="50"/>
      <c r="W560" s="50"/>
      <c r="X560" s="50"/>
      <c r="Y560" s="50"/>
      <c r="Z560" s="50"/>
      <c r="AA560" s="50"/>
      <c r="AB560" s="50"/>
      <c r="AC560" s="50"/>
    </row>
    <row r="561">
      <c r="A561" s="48" t="s">
        <v>2648</v>
      </c>
      <c r="B561" s="49" t="s">
        <v>3401</v>
      </c>
      <c r="C561" s="48" t="s">
        <v>3402</v>
      </c>
      <c r="D561" s="50" t="str">
        <f>IFERROR(__xludf.DUMMYFUNCTION("""COMPUTED_VALUE"""),"José Antonio")</f>
        <v>José Antonio</v>
      </c>
      <c r="E561" s="50"/>
      <c r="F561" s="50" t="s">
        <v>3402</v>
      </c>
      <c r="G561" s="50" t="s">
        <v>3402</v>
      </c>
      <c r="H561" s="50" t="s">
        <v>1710</v>
      </c>
      <c r="I561" s="50"/>
      <c r="J561" s="50" t="s">
        <v>1191</v>
      </c>
      <c r="K561" s="50"/>
      <c r="L561" s="50"/>
      <c r="M561" s="50"/>
      <c r="N561" s="50"/>
      <c r="O561" s="50"/>
      <c r="P561" s="50"/>
      <c r="Q561" s="50"/>
      <c r="R561" s="50"/>
      <c r="S561" s="50"/>
      <c r="T561" s="50"/>
      <c r="U561" s="50"/>
      <c r="V561" s="50"/>
      <c r="W561" s="50"/>
      <c r="X561" s="50"/>
      <c r="Y561" s="50"/>
      <c r="Z561" s="50"/>
      <c r="AA561" s="50"/>
      <c r="AB561" s="50"/>
      <c r="AC561" s="50"/>
    </row>
    <row r="562">
      <c r="A562" s="48" t="s">
        <v>2648</v>
      </c>
      <c r="B562" s="49" t="s">
        <v>3403</v>
      </c>
      <c r="C562" s="48" t="s">
        <v>3404</v>
      </c>
      <c r="D562" s="50" t="str">
        <f>IFERROR(__xludf.DUMMYFUNCTION("""COMPUTED_VALUE"""),"Lilas")</f>
        <v>Lilas</v>
      </c>
      <c r="E562" s="50"/>
      <c r="F562" s="50" t="s">
        <v>3404</v>
      </c>
      <c r="G562" s="50" t="s">
        <v>3404</v>
      </c>
      <c r="H562" s="50" t="s">
        <v>1710</v>
      </c>
      <c r="I562" s="50"/>
      <c r="J562" s="50" t="s">
        <v>1191</v>
      </c>
      <c r="K562" s="50"/>
      <c r="L562" s="50"/>
      <c r="M562" s="50"/>
      <c r="N562" s="50"/>
      <c r="O562" s="50"/>
      <c r="P562" s="50"/>
      <c r="Q562" s="50"/>
      <c r="R562" s="50"/>
      <c r="S562" s="50"/>
      <c r="T562" s="50"/>
      <c r="U562" s="50"/>
      <c r="V562" s="50"/>
      <c r="W562" s="50"/>
      <c r="X562" s="50"/>
      <c r="Y562" s="50"/>
      <c r="Z562" s="50"/>
      <c r="AA562" s="50"/>
      <c r="AB562" s="50"/>
      <c r="AC562" s="50"/>
    </row>
    <row r="563">
      <c r="A563" s="48" t="s">
        <v>2648</v>
      </c>
      <c r="B563" s="49" t="s">
        <v>3405</v>
      </c>
      <c r="C563" s="48" t="s">
        <v>3406</v>
      </c>
      <c r="D563" s="50" t="str">
        <f>IFERROR(__xludf.DUMMYFUNCTION("""COMPUTED_VALUE"""),"Lorette")</f>
        <v>Lorette</v>
      </c>
      <c r="E563" s="50"/>
      <c r="F563" s="50" t="s">
        <v>3406</v>
      </c>
      <c r="G563" s="50" t="s">
        <v>3406</v>
      </c>
      <c r="H563" s="50" t="s">
        <v>1710</v>
      </c>
      <c r="I563" s="50"/>
      <c r="J563" s="50" t="s">
        <v>1191</v>
      </c>
      <c r="K563" s="50"/>
      <c r="L563" s="50"/>
      <c r="M563" s="50"/>
      <c r="N563" s="50"/>
      <c r="O563" s="50"/>
      <c r="P563" s="50"/>
      <c r="Q563" s="50"/>
      <c r="R563" s="50"/>
      <c r="S563" s="50"/>
      <c r="T563" s="50"/>
      <c r="U563" s="50"/>
      <c r="V563" s="50"/>
      <c r="W563" s="50"/>
      <c r="X563" s="50"/>
      <c r="Y563" s="50"/>
      <c r="Z563" s="50"/>
      <c r="AA563" s="50"/>
      <c r="AB563" s="50"/>
      <c r="AC563" s="50"/>
    </row>
    <row r="564">
      <c r="A564" s="48" t="s">
        <v>2648</v>
      </c>
      <c r="B564" s="49" t="s">
        <v>3407</v>
      </c>
      <c r="C564" s="48" t="s">
        <v>3408</v>
      </c>
      <c r="D564" s="50" t="str">
        <f>IFERROR(__xludf.DUMMYFUNCTION("""COMPUTED_VALUE"""),"Lula")</f>
        <v>Lula</v>
      </c>
      <c r="E564" s="50"/>
      <c r="F564" s="50" t="s">
        <v>3408</v>
      </c>
      <c r="G564" s="50" t="s">
        <v>3408</v>
      </c>
      <c r="H564" s="50" t="s">
        <v>1710</v>
      </c>
      <c r="I564" s="50"/>
      <c r="J564" s="50" t="s">
        <v>1191</v>
      </c>
      <c r="K564" s="50"/>
      <c r="L564" s="50"/>
      <c r="M564" s="50"/>
      <c r="N564" s="50"/>
      <c r="O564" s="50"/>
      <c r="P564" s="50"/>
      <c r="Q564" s="50"/>
      <c r="R564" s="50"/>
      <c r="S564" s="50"/>
      <c r="T564" s="50"/>
      <c r="U564" s="50"/>
      <c r="V564" s="50"/>
      <c r="W564" s="50"/>
      <c r="X564" s="50"/>
      <c r="Y564" s="50"/>
      <c r="Z564" s="50"/>
      <c r="AA564" s="50"/>
      <c r="AB564" s="50"/>
      <c r="AC564" s="50"/>
    </row>
    <row r="565">
      <c r="A565" s="48" t="s">
        <v>2648</v>
      </c>
      <c r="B565" s="49" t="s">
        <v>3409</v>
      </c>
      <c r="C565" s="48" t="s">
        <v>3410</v>
      </c>
      <c r="D565" s="50" t="str">
        <f>IFERROR(__xludf.DUMMYFUNCTION("""COMPUTED_VALUE"""),"Marcus Pumpkin")</f>
        <v>Marcus Pumpkin</v>
      </c>
      <c r="E565" s="50"/>
      <c r="F565" s="50" t="s">
        <v>3410</v>
      </c>
      <c r="G565" s="50" t="s">
        <v>3410</v>
      </c>
      <c r="H565" s="50" t="s">
        <v>1710</v>
      </c>
      <c r="I565" s="50"/>
      <c r="J565" s="50" t="s">
        <v>1191</v>
      </c>
      <c r="K565" s="50"/>
      <c r="L565" s="50"/>
      <c r="M565" s="50"/>
      <c r="N565" s="50"/>
      <c r="O565" s="50"/>
      <c r="P565" s="50"/>
      <c r="Q565" s="50"/>
      <c r="R565" s="50"/>
      <c r="S565" s="50"/>
      <c r="T565" s="50"/>
      <c r="U565" s="50"/>
      <c r="V565" s="50"/>
      <c r="W565" s="50"/>
      <c r="X565" s="50"/>
      <c r="Y565" s="50"/>
      <c r="Z565" s="50"/>
      <c r="AA565" s="50"/>
      <c r="AB565" s="50"/>
      <c r="AC565" s="50"/>
    </row>
    <row r="566">
      <c r="A566" s="48" t="s">
        <v>2648</v>
      </c>
      <c r="B566" s="49" t="s">
        <v>3411</v>
      </c>
      <c r="C566" s="48" t="s">
        <v>3412</v>
      </c>
      <c r="D566" s="50" t="str">
        <f>IFERROR(__xludf.DUMMYFUNCTION("""COMPUTED_VALUE"""),"Miguel")</f>
        <v>Miguel</v>
      </c>
      <c r="E566" s="50"/>
      <c r="F566" s="50" t="s">
        <v>3412</v>
      </c>
      <c r="G566" s="50" t="s">
        <v>3412</v>
      </c>
      <c r="H566" s="50" t="s">
        <v>1710</v>
      </c>
      <c r="I566" s="50"/>
      <c r="J566" s="50" t="s">
        <v>1191</v>
      </c>
      <c r="K566" s="50"/>
      <c r="L566" s="50"/>
      <c r="M566" s="50"/>
      <c r="N566" s="50"/>
      <c r="O566" s="50"/>
      <c r="P566" s="50"/>
      <c r="Q566" s="50"/>
      <c r="R566" s="50"/>
      <c r="S566" s="50"/>
      <c r="T566" s="50"/>
      <c r="U566" s="50"/>
      <c r="V566" s="50"/>
      <c r="W566" s="50"/>
      <c r="X566" s="50"/>
      <c r="Y566" s="50"/>
      <c r="Z566" s="50"/>
      <c r="AA566" s="50"/>
      <c r="AB566" s="50"/>
      <c r="AC566" s="50"/>
    </row>
    <row r="567">
      <c r="A567" s="48" t="s">
        <v>2648</v>
      </c>
      <c r="B567" s="49" t="s">
        <v>3413</v>
      </c>
      <c r="C567" s="48" t="s">
        <v>3414</v>
      </c>
      <c r="D567" s="50" t="str">
        <f>IFERROR(__xludf.DUMMYFUNCTION("""COMPUTED_VALUE"""),"Monroe")</f>
        <v>Monroe</v>
      </c>
      <c r="E567" s="50"/>
      <c r="F567" s="50" t="s">
        <v>3414</v>
      </c>
      <c r="G567" s="50" t="s">
        <v>3414</v>
      </c>
      <c r="H567" s="50" t="s">
        <v>1710</v>
      </c>
      <c r="I567" s="50"/>
      <c r="J567" s="50" t="s">
        <v>1191</v>
      </c>
      <c r="K567" s="50"/>
      <c r="L567" s="50"/>
      <c r="M567" s="50"/>
      <c r="N567" s="50"/>
      <c r="O567" s="50"/>
      <c r="P567" s="50"/>
      <c r="Q567" s="50"/>
      <c r="R567" s="50"/>
      <c r="S567" s="50"/>
      <c r="T567" s="50"/>
      <c r="U567" s="50"/>
      <c r="V567" s="50"/>
      <c r="W567" s="50"/>
      <c r="X567" s="50"/>
      <c r="Y567" s="50"/>
      <c r="Z567" s="50"/>
      <c r="AA567" s="50"/>
      <c r="AB567" s="50"/>
      <c r="AC567" s="50"/>
    </row>
    <row r="568">
      <c r="A568" s="48" t="s">
        <v>2648</v>
      </c>
      <c r="B568" s="49" t="s">
        <v>3415</v>
      </c>
      <c r="C568" s="48" t="s">
        <v>3416</v>
      </c>
      <c r="D568" s="50" t="str">
        <f>IFERROR(__xludf.DUMMYFUNCTION("""COMPUTED_VALUE"""),"Nishikawa")</f>
        <v>Nishikawa</v>
      </c>
      <c r="E568" s="50"/>
      <c r="F568" s="50" t="s">
        <v>3416</v>
      </c>
      <c r="G568" s="50" t="s">
        <v>3416</v>
      </c>
      <c r="H568" s="50" t="s">
        <v>1710</v>
      </c>
      <c r="I568" s="50"/>
      <c r="J568" s="50" t="s">
        <v>1191</v>
      </c>
      <c r="K568" s="50"/>
      <c r="L568" s="50"/>
      <c r="M568" s="50"/>
      <c r="N568" s="50"/>
      <c r="O568" s="50"/>
      <c r="P568" s="50"/>
      <c r="Q568" s="50"/>
      <c r="R568" s="50"/>
      <c r="S568" s="50"/>
      <c r="T568" s="50"/>
      <c r="U568" s="50"/>
      <c r="V568" s="50"/>
      <c r="W568" s="50"/>
      <c r="X568" s="50"/>
      <c r="Y568" s="50"/>
      <c r="Z568" s="50"/>
      <c r="AA568" s="50"/>
      <c r="AB568" s="50"/>
      <c r="AC568" s="50"/>
    </row>
    <row r="569">
      <c r="A569" s="48" t="s">
        <v>2648</v>
      </c>
      <c r="B569" s="49" t="s">
        <v>3417</v>
      </c>
      <c r="C569" s="48" t="s">
        <v>3418</v>
      </c>
      <c r="D569" s="50" t="str">
        <f>IFERROR(__xludf.DUMMYFUNCTION("""COMPUTED_VALUE"""),"Or Noir")</f>
        <v>Or Noir</v>
      </c>
      <c r="E569" s="50"/>
      <c r="F569" s="50" t="s">
        <v>3418</v>
      </c>
      <c r="G569" s="50" t="s">
        <v>3418</v>
      </c>
      <c r="H569" s="50" t="s">
        <v>1710</v>
      </c>
      <c r="I569" s="50"/>
      <c r="J569" s="50" t="s">
        <v>1191</v>
      </c>
      <c r="K569" s="50"/>
      <c r="L569" s="50"/>
      <c r="M569" s="50"/>
      <c r="N569" s="50"/>
      <c r="O569" s="50"/>
      <c r="P569" s="50"/>
      <c r="Q569" s="50"/>
      <c r="R569" s="50"/>
      <c r="S569" s="50"/>
      <c r="T569" s="50"/>
      <c r="U569" s="50"/>
      <c r="V569" s="50"/>
      <c r="W569" s="50"/>
      <c r="X569" s="50"/>
      <c r="Y569" s="50"/>
      <c r="Z569" s="50"/>
      <c r="AA569" s="50"/>
      <c r="AB569" s="50"/>
      <c r="AC569" s="50"/>
    </row>
    <row r="570">
      <c r="A570" s="48" t="s">
        <v>2648</v>
      </c>
      <c r="B570" s="49" t="s">
        <v>3419</v>
      </c>
      <c r="C570" s="48" t="s">
        <v>3420</v>
      </c>
      <c r="D570" s="50" t="str">
        <f>IFERROR(__xludf.DUMMYFUNCTION("""COMPUTED_VALUE"""),"Pollock")</f>
        <v>Pollock</v>
      </c>
      <c r="E570" s="50"/>
      <c r="F570" s="50" t="s">
        <v>3420</v>
      </c>
      <c r="G570" s="50" t="s">
        <v>3420</v>
      </c>
      <c r="H570" s="50" t="s">
        <v>1710</v>
      </c>
      <c r="I570" s="50"/>
      <c r="J570" s="50" t="s">
        <v>1191</v>
      </c>
      <c r="K570" s="50"/>
      <c r="L570" s="50"/>
      <c r="M570" s="50"/>
      <c r="N570" s="50"/>
      <c r="O570" s="50"/>
      <c r="P570" s="50"/>
      <c r="Q570" s="50"/>
      <c r="R570" s="50"/>
      <c r="S570" s="50"/>
      <c r="T570" s="50"/>
      <c r="U570" s="50"/>
      <c r="V570" s="50"/>
      <c r="W570" s="50"/>
      <c r="X570" s="50"/>
      <c r="Y570" s="50"/>
      <c r="Z570" s="50"/>
      <c r="AA570" s="50"/>
      <c r="AB570" s="50"/>
      <c r="AC570" s="50"/>
    </row>
    <row r="571">
      <c r="A571" s="48" t="s">
        <v>2648</v>
      </c>
      <c r="B571" s="49" t="s">
        <v>3421</v>
      </c>
      <c r="C571" s="48" t="s">
        <v>3422</v>
      </c>
      <c r="D571" s="50" t="str">
        <f>IFERROR(__xludf.DUMMYFUNCTION("""COMPUTED_VALUE"""),"Ronny")</f>
        <v>Ronny</v>
      </c>
      <c r="E571" s="50"/>
      <c r="F571" s="50" t="s">
        <v>3422</v>
      </c>
      <c r="G571" s="50" t="s">
        <v>3422</v>
      </c>
      <c r="H571" s="50" t="s">
        <v>1710</v>
      </c>
      <c r="I571" s="50"/>
      <c r="J571" s="50" t="s">
        <v>1191</v>
      </c>
      <c r="K571" s="50"/>
      <c r="L571" s="50"/>
      <c r="M571" s="50"/>
      <c r="N571" s="50"/>
      <c r="O571" s="50"/>
      <c r="P571" s="50"/>
      <c r="Q571" s="50"/>
      <c r="R571" s="50"/>
      <c r="S571" s="50"/>
      <c r="T571" s="50"/>
      <c r="U571" s="50"/>
      <c r="V571" s="50"/>
      <c r="W571" s="50"/>
      <c r="X571" s="50"/>
      <c r="Y571" s="50"/>
      <c r="Z571" s="50"/>
      <c r="AA571" s="50"/>
      <c r="AB571" s="50"/>
      <c r="AC571" s="50"/>
    </row>
    <row r="572">
      <c r="A572" s="48" t="s">
        <v>2648</v>
      </c>
      <c r="B572" s="49" t="s">
        <v>3423</v>
      </c>
      <c r="C572" s="48" t="s">
        <v>3424</v>
      </c>
      <c r="D572" s="50" t="str">
        <f>IFERROR(__xludf.DUMMYFUNCTION("""COMPUTED_VALUE"""),"Russell")</f>
        <v>Russell</v>
      </c>
      <c r="E572" s="50"/>
      <c r="F572" s="50" t="s">
        <v>3424</v>
      </c>
      <c r="G572" s="50" t="s">
        <v>3424</v>
      </c>
      <c r="H572" s="50" t="s">
        <v>1710</v>
      </c>
      <c r="I572" s="50"/>
      <c r="J572" s="50" t="s">
        <v>1191</v>
      </c>
      <c r="K572" s="50"/>
      <c r="L572" s="50"/>
      <c r="M572" s="50"/>
      <c r="N572" s="50"/>
      <c r="O572" s="50"/>
      <c r="P572" s="50"/>
      <c r="Q572" s="50"/>
      <c r="R572" s="50"/>
      <c r="S572" s="50"/>
      <c r="T572" s="50"/>
      <c r="U572" s="50"/>
      <c r="V572" s="50"/>
      <c r="W572" s="50"/>
      <c r="X572" s="50"/>
      <c r="Y572" s="50"/>
      <c r="Z572" s="50"/>
      <c r="AA572" s="50"/>
      <c r="AB572" s="50"/>
      <c r="AC572" s="50"/>
    </row>
    <row r="573">
      <c r="A573" s="48" t="s">
        <v>2648</v>
      </c>
      <c r="B573" s="49" t="s">
        <v>3425</v>
      </c>
      <c r="C573" s="48" t="s">
        <v>3426</v>
      </c>
      <c r="D573" s="50" t="str">
        <f>IFERROR(__xludf.DUMMYFUNCTION("""COMPUTED_VALUE"""),"Simmons")</f>
        <v>Simmons</v>
      </c>
      <c r="E573" s="50"/>
      <c r="F573" s="50" t="s">
        <v>3426</v>
      </c>
      <c r="G573" s="50" t="s">
        <v>3426</v>
      </c>
      <c r="H573" s="50" t="s">
        <v>1710</v>
      </c>
      <c r="I573" s="50"/>
      <c r="J573" s="50" t="s">
        <v>1191</v>
      </c>
      <c r="K573" s="50"/>
      <c r="L573" s="50"/>
      <c r="M573" s="50"/>
      <c r="N573" s="50"/>
      <c r="O573" s="50"/>
      <c r="P573" s="50"/>
      <c r="Q573" s="50"/>
      <c r="R573" s="50"/>
      <c r="S573" s="50"/>
      <c r="T573" s="50"/>
      <c r="U573" s="50"/>
      <c r="V573" s="50"/>
      <c r="W573" s="50"/>
      <c r="X573" s="50"/>
      <c r="Y573" s="50"/>
      <c r="Z573" s="50"/>
      <c r="AA573" s="50"/>
      <c r="AB573" s="50"/>
      <c r="AC573" s="50"/>
    </row>
    <row r="574">
      <c r="A574" s="48" t="s">
        <v>2648</v>
      </c>
      <c r="B574" s="49" t="s">
        <v>3427</v>
      </c>
      <c r="C574" s="48" t="s">
        <v>3428</v>
      </c>
      <c r="D574" s="50" t="str">
        <f>IFERROR(__xludf.DUMMYFUNCTION("""COMPUTED_VALUE"""),"Super Hass")</f>
        <v>Super Hass</v>
      </c>
      <c r="E574" s="50"/>
      <c r="F574" s="50" t="s">
        <v>3428</v>
      </c>
      <c r="G574" s="50" t="s">
        <v>3428</v>
      </c>
      <c r="H574" s="50" t="s">
        <v>1710</v>
      </c>
      <c r="I574" s="50"/>
      <c r="J574" s="50" t="s">
        <v>1191</v>
      </c>
      <c r="K574" s="50"/>
      <c r="L574" s="50"/>
      <c r="M574" s="50"/>
      <c r="N574" s="50"/>
      <c r="O574" s="50"/>
      <c r="P574" s="50"/>
      <c r="Q574" s="50"/>
      <c r="R574" s="50"/>
      <c r="S574" s="50"/>
      <c r="T574" s="50"/>
      <c r="U574" s="50"/>
      <c r="V574" s="50"/>
      <c r="W574" s="50"/>
      <c r="X574" s="50"/>
      <c r="Y574" s="50"/>
      <c r="Z574" s="50"/>
      <c r="AA574" s="50"/>
      <c r="AB574" s="50"/>
      <c r="AC574" s="50"/>
    </row>
    <row r="575">
      <c r="A575" s="48" t="s">
        <v>2648</v>
      </c>
      <c r="B575" s="49" t="s">
        <v>3429</v>
      </c>
      <c r="C575" s="48" t="s">
        <v>3430</v>
      </c>
      <c r="D575" s="50" t="str">
        <f>IFERROR(__xludf.DUMMYFUNCTION("""COMPUTED_VALUE"""),"Talpeno")</f>
        <v>Talpeno</v>
      </c>
      <c r="E575" s="50"/>
      <c r="F575" s="50" t="s">
        <v>3430</v>
      </c>
      <c r="G575" s="50" t="s">
        <v>3430</v>
      </c>
      <c r="H575" s="50" t="s">
        <v>1710</v>
      </c>
      <c r="I575" s="50"/>
      <c r="J575" s="50" t="s">
        <v>1191</v>
      </c>
      <c r="K575" s="50"/>
      <c r="L575" s="50"/>
      <c r="M575" s="50"/>
      <c r="N575" s="50"/>
      <c r="O575" s="50"/>
      <c r="P575" s="50"/>
      <c r="Q575" s="50"/>
      <c r="R575" s="50"/>
      <c r="S575" s="50"/>
      <c r="T575" s="50"/>
      <c r="U575" s="50"/>
      <c r="V575" s="50"/>
      <c r="W575" s="50"/>
      <c r="X575" s="50"/>
      <c r="Y575" s="50"/>
      <c r="Z575" s="50"/>
      <c r="AA575" s="50"/>
      <c r="AB575" s="50"/>
      <c r="AC575" s="50"/>
    </row>
    <row r="576">
      <c r="A576" s="48" t="s">
        <v>2648</v>
      </c>
      <c r="B576" s="49" t="s">
        <v>3431</v>
      </c>
      <c r="C576" s="48" t="s">
        <v>3432</v>
      </c>
      <c r="D576" s="50" t="str">
        <f>IFERROR(__xludf.DUMMYFUNCTION("""COMPUTED_VALUE"""),"Tonnage")</f>
        <v>Tonnage</v>
      </c>
      <c r="E576" s="50"/>
      <c r="F576" s="50" t="s">
        <v>3432</v>
      </c>
      <c r="G576" s="50" t="s">
        <v>3432</v>
      </c>
      <c r="H576" s="50" t="s">
        <v>1710</v>
      </c>
      <c r="I576" s="50"/>
      <c r="J576" s="50" t="s">
        <v>1191</v>
      </c>
      <c r="K576" s="50"/>
      <c r="L576" s="50"/>
      <c r="M576" s="50"/>
      <c r="N576" s="50"/>
      <c r="O576" s="50"/>
      <c r="P576" s="50"/>
      <c r="Q576" s="50"/>
      <c r="R576" s="50"/>
      <c r="S576" s="50"/>
      <c r="T576" s="50"/>
      <c r="U576" s="50"/>
      <c r="V576" s="50"/>
      <c r="W576" s="50"/>
      <c r="X576" s="50"/>
      <c r="Y576" s="50"/>
      <c r="Z576" s="50"/>
      <c r="AA576" s="50"/>
      <c r="AB576" s="50"/>
      <c r="AC576" s="50"/>
    </row>
    <row r="577">
      <c r="A577" s="48" t="s">
        <v>2648</v>
      </c>
      <c r="B577" s="49" t="s">
        <v>3433</v>
      </c>
      <c r="C577" s="48" t="s">
        <v>3434</v>
      </c>
      <c r="D577" s="50" t="str">
        <f>IFERROR(__xludf.DUMMYFUNCTION("""COMPUTED_VALUE"""),"Tour N°2")</f>
        <v>Tour N°2</v>
      </c>
      <c r="E577" s="50"/>
      <c r="F577" s="50" t="s">
        <v>3434</v>
      </c>
      <c r="G577" s="50" t="s">
        <v>3434</v>
      </c>
      <c r="H577" s="50" t="s">
        <v>1710</v>
      </c>
      <c r="I577" s="50"/>
      <c r="J577" s="50" t="s">
        <v>1191</v>
      </c>
      <c r="K577" s="50"/>
      <c r="L577" s="50"/>
      <c r="M577" s="50"/>
      <c r="N577" s="50"/>
      <c r="O577" s="50"/>
      <c r="P577" s="50"/>
      <c r="Q577" s="50"/>
      <c r="R577" s="50"/>
      <c r="S577" s="50"/>
      <c r="T577" s="50"/>
      <c r="U577" s="50"/>
      <c r="V577" s="50"/>
      <c r="W577" s="50"/>
      <c r="X577" s="50"/>
      <c r="Y577" s="50"/>
      <c r="Z577" s="50"/>
      <c r="AA577" s="50"/>
      <c r="AB577" s="50"/>
      <c r="AC577" s="50"/>
    </row>
    <row r="578">
      <c r="A578" s="48" t="s">
        <v>2648</v>
      </c>
      <c r="B578" s="49" t="s">
        <v>3435</v>
      </c>
      <c r="C578" s="48" t="s">
        <v>3436</v>
      </c>
      <c r="D578" s="50" t="str">
        <f>IFERROR(__xludf.DUMMYFUNCTION("""COMPUTED_VALUE"""),"Victoria")</f>
        <v>Victoria</v>
      </c>
      <c r="E578" s="50"/>
      <c r="F578" s="50" t="s">
        <v>3436</v>
      </c>
      <c r="G578" s="50" t="s">
        <v>3436</v>
      </c>
      <c r="H578" s="50" t="s">
        <v>1710</v>
      </c>
      <c r="I578" s="50"/>
      <c r="J578" s="50" t="s">
        <v>1191</v>
      </c>
      <c r="K578" s="50"/>
      <c r="L578" s="50"/>
      <c r="M578" s="50"/>
      <c r="N578" s="50"/>
      <c r="O578" s="50"/>
      <c r="P578" s="50"/>
      <c r="Q578" s="50"/>
      <c r="R578" s="50"/>
      <c r="S578" s="50"/>
      <c r="T578" s="50"/>
      <c r="U578" s="50"/>
      <c r="V578" s="50"/>
      <c r="W578" s="50"/>
      <c r="X578" s="50"/>
      <c r="Y578" s="50"/>
      <c r="Z578" s="50"/>
      <c r="AA578" s="50"/>
      <c r="AB578" s="50"/>
      <c r="AC578" s="50"/>
    </row>
    <row r="579">
      <c r="A579" s="48" t="s">
        <v>2648</v>
      </c>
      <c r="B579" s="49" t="s">
        <v>3437</v>
      </c>
      <c r="C579" s="48" t="s">
        <v>3438</v>
      </c>
      <c r="D579" s="50" t="str">
        <f>IFERROR(__xludf.DUMMYFUNCTION("""COMPUTED_VALUE"""),"Waldin")</f>
        <v>Waldin</v>
      </c>
      <c r="E579" s="50"/>
      <c r="F579" s="50" t="s">
        <v>3438</v>
      </c>
      <c r="G579" s="50" t="s">
        <v>3438</v>
      </c>
      <c r="H579" s="50" t="s">
        <v>1710</v>
      </c>
      <c r="I579" s="50"/>
      <c r="J579" s="50" t="s">
        <v>1191</v>
      </c>
      <c r="K579" s="50"/>
      <c r="L579" s="50"/>
      <c r="M579" s="50"/>
      <c r="N579" s="50"/>
      <c r="O579" s="50"/>
      <c r="P579" s="50"/>
      <c r="Q579" s="50"/>
      <c r="R579" s="50"/>
      <c r="S579" s="50"/>
      <c r="T579" s="50"/>
      <c r="U579" s="50"/>
      <c r="V579" s="50"/>
      <c r="W579" s="50"/>
      <c r="X579" s="50"/>
      <c r="Y579" s="50"/>
      <c r="Z579" s="50"/>
      <c r="AA579" s="50"/>
      <c r="AB579" s="50"/>
      <c r="AC579" s="50"/>
    </row>
    <row r="580">
      <c r="A580" s="48" t="s">
        <v>2648</v>
      </c>
      <c r="B580" s="49" t="s">
        <v>3439</v>
      </c>
      <c r="C580" s="48" t="s">
        <v>3440</v>
      </c>
      <c r="D580" s="50" t="str">
        <f>IFERROR(__xludf.DUMMYFUNCTION("""COMPUTED_VALUE"""),"Disposé")</f>
        <v>Disposé</v>
      </c>
      <c r="E580" s="50"/>
      <c r="F580" s="50" t="s">
        <v>3440</v>
      </c>
      <c r="G580" s="50" t="s">
        <v>3440</v>
      </c>
      <c r="H580" s="50" t="s">
        <v>1710</v>
      </c>
      <c r="I580" s="50"/>
      <c r="J580" s="50" t="s">
        <v>1191</v>
      </c>
      <c r="K580" s="50"/>
      <c r="L580" s="50"/>
      <c r="M580" s="50"/>
      <c r="N580" s="50"/>
      <c r="O580" s="50"/>
      <c r="P580" s="50"/>
      <c r="Q580" s="50"/>
      <c r="R580" s="50"/>
      <c r="S580" s="50"/>
      <c r="T580" s="50"/>
      <c r="U580" s="50"/>
      <c r="V580" s="50"/>
      <c r="W580" s="50"/>
      <c r="X580" s="50"/>
      <c r="Y580" s="50"/>
      <c r="Z580" s="50"/>
      <c r="AA580" s="50"/>
      <c r="AB580" s="50"/>
      <c r="AC580" s="50"/>
    </row>
    <row r="581">
      <c r="A581" s="48" t="s">
        <v>2648</v>
      </c>
      <c r="B581" s="49" t="s">
        <v>3441</v>
      </c>
      <c r="C581" s="48" t="s">
        <v>3285</v>
      </c>
      <c r="D581" s="50" t="str">
        <f>IFERROR(__xludf.DUMMYFUNCTION("""COMPUTED_VALUE"""),"Wilson")</f>
        <v>Wilson</v>
      </c>
      <c r="E581" s="50"/>
      <c r="F581" s="50" t="s">
        <v>3285</v>
      </c>
      <c r="G581" s="50" t="s">
        <v>3285</v>
      </c>
      <c r="H581" s="50" t="s">
        <v>1710</v>
      </c>
      <c r="I581" s="50"/>
      <c r="J581" s="50" t="s">
        <v>1191</v>
      </c>
      <c r="K581" s="50"/>
      <c r="L581" s="50"/>
      <c r="M581" s="50"/>
      <c r="N581" s="50"/>
      <c r="O581" s="50"/>
      <c r="P581" s="50"/>
      <c r="Q581" s="50"/>
      <c r="R581" s="50"/>
      <c r="S581" s="50"/>
      <c r="T581" s="50"/>
      <c r="U581" s="50"/>
      <c r="V581" s="50"/>
      <c r="W581" s="50"/>
      <c r="X581" s="50"/>
      <c r="Y581" s="50"/>
      <c r="Z581" s="50"/>
      <c r="AA581" s="50"/>
      <c r="AB581" s="50"/>
      <c r="AC581" s="50"/>
    </row>
    <row r="582">
      <c r="A582" s="48" t="s">
        <v>2648</v>
      </c>
      <c r="B582" s="49" t="s">
        <v>3442</v>
      </c>
      <c r="C582" s="48" t="s">
        <v>3443</v>
      </c>
      <c r="D582" s="50" t="str">
        <f>IFERROR(__xludf.DUMMYFUNCTION("""COMPUTED_VALUE"""),"Hiver Mexicain")</f>
        <v>Hiver Mexicain</v>
      </c>
      <c r="E582" s="50"/>
      <c r="F582" s="50" t="s">
        <v>3443</v>
      </c>
      <c r="G582" s="50" t="s">
        <v>3443</v>
      </c>
      <c r="H582" s="50" t="s">
        <v>1710</v>
      </c>
      <c r="I582" s="50"/>
      <c r="J582" s="50" t="s">
        <v>1191</v>
      </c>
      <c r="K582" s="50"/>
      <c r="L582" s="50"/>
      <c r="M582" s="50"/>
      <c r="N582" s="50"/>
      <c r="O582" s="50"/>
      <c r="P582" s="50"/>
      <c r="Q582" s="50"/>
      <c r="R582" s="50"/>
      <c r="S582" s="50"/>
      <c r="T582" s="50"/>
      <c r="U582" s="50"/>
      <c r="V582" s="50"/>
      <c r="W582" s="50"/>
      <c r="X582" s="50"/>
      <c r="Y582" s="50"/>
      <c r="Z582" s="50"/>
      <c r="AA582" s="50"/>
      <c r="AB582" s="50"/>
      <c r="AC582" s="50"/>
    </row>
    <row r="583">
      <c r="A583" s="48" t="s">
        <v>2648</v>
      </c>
      <c r="B583" s="49" t="s">
        <v>3444</v>
      </c>
      <c r="C583" s="48" t="s">
        <v>3445</v>
      </c>
      <c r="D583" s="50" t="str">
        <f>IFERROR(__xludf.DUMMYFUNCTION("""COMPUTED_VALUE"""),"Wurtz")</f>
        <v>Wurtz</v>
      </c>
      <c r="E583" s="50"/>
      <c r="F583" s="50" t="s">
        <v>3445</v>
      </c>
      <c r="G583" s="50" t="s">
        <v>3445</v>
      </c>
      <c r="H583" s="50" t="s">
        <v>1710</v>
      </c>
      <c r="I583" s="50"/>
      <c r="J583" s="50" t="s">
        <v>1191</v>
      </c>
      <c r="K583" s="50"/>
      <c r="L583" s="50"/>
      <c r="M583" s="50"/>
      <c r="N583" s="50"/>
      <c r="O583" s="50"/>
      <c r="P583" s="50"/>
      <c r="Q583" s="50"/>
      <c r="R583" s="50"/>
      <c r="S583" s="50"/>
      <c r="T583" s="50"/>
      <c r="U583" s="50"/>
      <c r="V583" s="50"/>
      <c r="W583" s="50"/>
      <c r="X583" s="50"/>
      <c r="Y583" s="50"/>
      <c r="Z583" s="50"/>
      <c r="AA583" s="50"/>
      <c r="AB583" s="50"/>
      <c r="AC583" s="50"/>
    </row>
    <row r="584">
      <c r="A584" s="48" t="s">
        <v>2648</v>
      </c>
      <c r="B584" s="49" t="s">
        <v>3446</v>
      </c>
      <c r="C584" s="48" t="s">
        <v>3447</v>
      </c>
      <c r="D584" s="50" t="str">
        <f>IFERROR(__xludf.DUMMYFUNCTION("""COMPUTED_VALUE"""),"Yucatán")</f>
        <v>Yucatán</v>
      </c>
      <c r="E584" s="50"/>
      <c r="F584" s="50" t="s">
        <v>3447</v>
      </c>
      <c r="G584" s="50" t="s">
        <v>3447</v>
      </c>
      <c r="H584" s="50" t="s">
        <v>1710</v>
      </c>
      <c r="I584" s="50"/>
      <c r="J584" s="50" t="s">
        <v>1191</v>
      </c>
      <c r="K584" s="50"/>
      <c r="L584" s="50"/>
      <c r="M584" s="50"/>
      <c r="N584" s="50"/>
      <c r="O584" s="50"/>
      <c r="P584" s="50"/>
      <c r="Q584" s="50"/>
      <c r="R584" s="50"/>
      <c r="S584" s="50"/>
      <c r="T584" s="50"/>
      <c r="U584" s="50"/>
      <c r="V584" s="50"/>
      <c r="W584" s="50"/>
      <c r="X584" s="50"/>
      <c r="Y584" s="50"/>
      <c r="Z584" s="50"/>
      <c r="AA584" s="50"/>
      <c r="AB584" s="50"/>
      <c r="AC584" s="50"/>
    </row>
    <row r="585">
      <c r="A585" s="48" t="s">
        <v>2648</v>
      </c>
      <c r="B585" s="49" t="s">
        <v>3448</v>
      </c>
      <c r="C585" s="48" t="s">
        <v>3449</v>
      </c>
      <c r="D585" s="50" t="str">
        <f>IFERROR(__xludf.DUMMYFUNCTION("""COMPUTED_VALUE"""),"Rouge")</f>
        <v>Rouge</v>
      </c>
      <c r="E585" s="50"/>
      <c r="F585" s="50" t="s">
        <v>3449</v>
      </c>
      <c r="G585" s="50" t="s">
        <v>3449</v>
      </c>
      <c r="H585" s="50" t="s">
        <v>1710</v>
      </c>
      <c r="I585" s="50"/>
      <c r="J585" s="50" t="s">
        <v>3067</v>
      </c>
      <c r="K585" s="50"/>
      <c r="L585" s="50"/>
      <c r="M585" s="50"/>
      <c r="N585" s="50"/>
      <c r="O585" s="50"/>
      <c r="P585" s="50"/>
      <c r="Q585" s="50"/>
      <c r="R585" s="50"/>
      <c r="S585" s="50"/>
      <c r="T585" s="50"/>
      <c r="U585" s="50"/>
      <c r="V585" s="50"/>
      <c r="W585" s="50"/>
      <c r="X585" s="50"/>
      <c r="Y585" s="50"/>
      <c r="Z585" s="50"/>
      <c r="AA585" s="50"/>
      <c r="AB585" s="50"/>
      <c r="AC585" s="50"/>
    </row>
    <row r="586">
      <c r="A586" s="48" t="s">
        <v>2648</v>
      </c>
      <c r="B586" s="49" t="s">
        <v>3450</v>
      </c>
      <c r="C586" s="48" t="s">
        <v>3451</v>
      </c>
      <c r="D586" s="50" t="str">
        <f>IFERROR(__xludf.DUMMYFUNCTION("""COMPUTED_VALUE"""),"Sabara Noir")</f>
        <v>Sabara Noir</v>
      </c>
      <c r="E586" s="50"/>
      <c r="F586" s="50" t="s">
        <v>3451</v>
      </c>
      <c r="G586" s="50" t="s">
        <v>3451</v>
      </c>
      <c r="H586" s="50" t="s">
        <v>1710</v>
      </c>
      <c r="I586" s="50"/>
      <c r="J586" s="50" t="s">
        <v>3067</v>
      </c>
      <c r="K586" s="50"/>
      <c r="L586" s="50"/>
      <c r="M586" s="50"/>
      <c r="N586" s="50"/>
      <c r="O586" s="50"/>
      <c r="P586" s="50"/>
      <c r="Q586" s="50"/>
      <c r="R586" s="50"/>
      <c r="S586" s="50"/>
      <c r="T586" s="50"/>
      <c r="U586" s="50"/>
      <c r="V586" s="50"/>
      <c r="W586" s="50"/>
      <c r="X586" s="50"/>
      <c r="Y586" s="50"/>
      <c r="Z586" s="50"/>
      <c r="AA586" s="50"/>
      <c r="AB586" s="50"/>
      <c r="AC586" s="50"/>
    </row>
    <row r="587">
      <c r="A587" s="48" t="s">
        <v>2648</v>
      </c>
      <c r="B587" s="49" t="s">
        <v>3452</v>
      </c>
      <c r="C587" s="48" t="s">
        <v>3453</v>
      </c>
      <c r="D587" s="50" t="str">
        <f>IFERROR(__xludf.DUMMYFUNCTION("""COMPUTED_VALUE"""),"Arue")</f>
        <v>Arue</v>
      </c>
      <c r="E587" s="50"/>
      <c r="F587" s="50" t="s">
        <v>3453</v>
      </c>
      <c r="G587" s="50" t="s">
        <v>3453</v>
      </c>
      <c r="H587" s="50" t="s">
        <v>1710</v>
      </c>
      <c r="I587" s="50"/>
      <c r="J587" s="50" t="s">
        <v>3080</v>
      </c>
      <c r="K587" s="50"/>
      <c r="L587" s="50"/>
      <c r="M587" s="50"/>
      <c r="N587" s="50"/>
      <c r="O587" s="50"/>
      <c r="P587" s="50"/>
      <c r="Q587" s="50"/>
      <c r="R587" s="50"/>
      <c r="S587" s="50"/>
      <c r="T587" s="50"/>
      <c r="U587" s="50"/>
      <c r="V587" s="50"/>
      <c r="W587" s="50"/>
      <c r="X587" s="50"/>
      <c r="Y587" s="50"/>
      <c r="Z587" s="50"/>
      <c r="AA587" s="50"/>
      <c r="AB587" s="50"/>
      <c r="AC587" s="50"/>
    </row>
    <row r="588">
      <c r="A588" s="48" t="s">
        <v>2648</v>
      </c>
      <c r="B588" s="49" t="s">
        <v>3454</v>
      </c>
      <c r="C588" s="48" t="s">
        <v>3455</v>
      </c>
      <c r="D588" s="50" t="str">
        <f>IFERROR(__xludf.DUMMYFUNCTION("""COMPUTED_VALUE"""),"Aurée")</f>
        <v>Aurée</v>
      </c>
      <c r="E588" s="50"/>
      <c r="F588" s="50" t="s">
        <v>3455</v>
      </c>
      <c r="G588" s="50" t="s">
        <v>3455</v>
      </c>
      <c r="H588" s="50" t="s">
        <v>1710</v>
      </c>
      <c r="I588" s="50"/>
      <c r="J588" s="50" t="s">
        <v>3080</v>
      </c>
      <c r="K588" s="50"/>
      <c r="L588" s="50"/>
      <c r="M588" s="50"/>
      <c r="N588" s="50"/>
      <c r="O588" s="50"/>
      <c r="P588" s="50"/>
      <c r="Q588" s="50"/>
      <c r="R588" s="50"/>
      <c r="S588" s="50"/>
      <c r="T588" s="50"/>
      <c r="U588" s="50"/>
      <c r="V588" s="50"/>
      <c r="W588" s="50"/>
      <c r="X588" s="50"/>
      <c r="Y588" s="50"/>
      <c r="Z588" s="50"/>
      <c r="AA588" s="50"/>
      <c r="AB588" s="50"/>
      <c r="AC588" s="50"/>
    </row>
    <row r="589">
      <c r="A589" s="48" t="s">
        <v>2648</v>
      </c>
      <c r="B589" s="49" t="s">
        <v>3456</v>
      </c>
      <c r="C589" s="48" t="s">
        <v>3457</v>
      </c>
      <c r="D589" s="50" t="str">
        <f>IFERROR(__xludf.DUMMYFUNCTION("""COMPUTED_VALUE"""),"Bruce")</f>
        <v>Bruce</v>
      </c>
      <c r="E589" s="50"/>
      <c r="F589" s="50" t="s">
        <v>3457</v>
      </c>
      <c r="G589" s="50" t="s">
        <v>3457</v>
      </c>
      <c r="H589" s="50" t="s">
        <v>1710</v>
      </c>
      <c r="I589" s="50"/>
      <c r="J589" s="50" t="s">
        <v>3080</v>
      </c>
      <c r="K589" s="50"/>
      <c r="L589" s="50"/>
      <c r="M589" s="50"/>
      <c r="N589" s="50"/>
      <c r="O589" s="50"/>
      <c r="P589" s="50"/>
      <c r="Q589" s="50"/>
      <c r="R589" s="50"/>
      <c r="S589" s="50"/>
      <c r="T589" s="50"/>
      <c r="U589" s="50"/>
      <c r="V589" s="50"/>
      <c r="W589" s="50"/>
      <c r="X589" s="50"/>
      <c r="Y589" s="50"/>
      <c r="Z589" s="50"/>
      <c r="AA589" s="50"/>
      <c r="AB589" s="50"/>
      <c r="AC589" s="50"/>
    </row>
    <row r="590">
      <c r="A590" s="48" t="s">
        <v>2648</v>
      </c>
      <c r="B590" s="49" t="s">
        <v>3458</v>
      </c>
      <c r="C590" s="48" t="s">
        <v>3459</v>
      </c>
      <c r="D590" s="50" t="str">
        <f>IFERROR(__xludf.DUMMYFUNCTION("""COMPUTED_VALUE"""),"Fairchild")</f>
        <v>Fairchild</v>
      </c>
      <c r="E590" s="50"/>
      <c r="F590" s="50" t="s">
        <v>3459</v>
      </c>
      <c r="G590" s="50" t="s">
        <v>3459</v>
      </c>
      <c r="H590" s="50" t="s">
        <v>1710</v>
      </c>
      <c r="I590" s="50"/>
      <c r="J590" s="50" t="s">
        <v>3080</v>
      </c>
      <c r="K590" s="50"/>
      <c r="L590" s="50"/>
      <c r="M590" s="50"/>
      <c r="N590" s="50"/>
      <c r="O590" s="50"/>
      <c r="P590" s="50"/>
      <c r="Q590" s="50"/>
      <c r="R590" s="50"/>
      <c r="S590" s="50"/>
      <c r="T590" s="50"/>
      <c r="U590" s="50"/>
      <c r="V590" s="50"/>
      <c r="W590" s="50"/>
      <c r="X590" s="50"/>
      <c r="Y590" s="50"/>
      <c r="Z590" s="50"/>
      <c r="AA590" s="50"/>
      <c r="AB590" s="50"/>
      <c r="AC590" s="50"/>
    </row>
    <row r="591">
      <c r="A591" s="48" t="s">
        <v>2648</v>
      </c>
      <c r="B591" s="49" t="s">
        <v>3460</v>
      </c>
      <c r="C591" s="48" t="s">
        <v>3461</v>
      </c>
      <c r="D591" s="50" t="str">
        <f>IFERROR(__xludf.DUMMYFUNCTION("""COMPUTED_VALUE"""),"Fairchild #2")</f>
        <v>Fairchild #2</v>
      </c>
      <c r="E591" s="50"/>
      <c r="F591" s="50" t="s">
        <v>3461</v>
      </c>
      <c r="G591" s="50" t="s">
        <v>3461</v>
      </c>
      <c r="H591" s="50" t="s">
        <v>1710</v>
      </c>
      <c r="I591" s="50"/>
      <c r="J591" s="50" t="s">
        <v>3080</v>
      </c>
      <c r="K591" s="50"/>
      <c r="L591" s="50"/>
      <c r="M591" s="50"/>
      <c r="N591" s="50"/>
      <c r="O591" s="50"/>
      <c r="P591" s="50"/>
      <c r="Q591" s="50"/>
      <c r="R591" s="50"/>
      <c r="S591" s="50"/>
      <c r="T591" s="50"/>
      <c r="U591" s="50"/>
      <c r="V591" s="50"/>
      <c r="W591" s="50"/>
      <c r="X591" s="50"/>
      <c r="Y591" s="50"/>
      <c r="Z591" s="50"/>
      <c r="AA591" s="50"/>
      <c r="AB591" s="50"/>
      <c r="AC591" s="50"/>
    </row>
    <row r="592">
      <c r="A592" s="48" t="s">
        <v>2648</v>
      </c>
      <c r="B592" s="49" t="s">
        <v>3462</v>
      </c>
      <c r="C592" s="48" t="s">
        <v>3463</v>
      </c>
      <c r="D592" s="50" t="str">
        <f>IFERROR(__xludf.DUMMYFUNCTION("""COMPUTED_VALUE"""),"Or")</f>
        <v>Or</v>
      </c>
      <c r="E592" s="50"/>
      <c r="F592" s="50" t="s">
        <v>3463</v>
      </c>
      <c r="G592" s="50" t="s">
        <v>3463</v>
      </c>
      <c r="H592" s="50" t="s">
        <v>1710</v>
      </c>
      <c r="I592" s="50"/>
      <c r="J592" s="50" t="s">
        <v>3080</v>
      </c>
      <c r="K592" s="50"/>
      <c r="L592" s="50"/>
      <c r="M592" s="50"/>
      <c r="N592" s="50"/>
      <c r="O592" s="50"/>
      <c r="P592" s="50"/>
      <c r="Q592" s="50"/>
      <c r="R592" s="50"/>
      <c r="S592" s="50"/>
      <c r="T592" s="50"/>
      <c r="U592" s="50"/>
      <c r="V592" s="50"/>
      <c r="W592" s="50"/>
      <c r="X592" s="50"/>
      <c r="Y592" s="50"/>
      <c r="Z592" s="50"/>
      <c r="AA592" s="50"/>
      <c r="AB592" s="50"/>
      <c r="AC592" s="50"/>
    </row>
    <row r="593">
      <c r="A593" s="48" t="s">
        <v>2648</v>
      </c>
      <c r="B593" s="49" t="s">
        <v>3464</v>
      </c>
      <c r="C593" s="48" t="s">
        <v>3465</v>
      </c>
      <c r="D593" s="50" t="str">
        <f>IFERROR(__xludf.DUMMYFUNCTION("""COMPUTED_VALUE"""),"Ross")</f>
        <v>Ross</v>
      </c>
      <c r="E593" s="50"/>
      <c r="F593" s="50" t="s">
        <v>3465</v>
      </c>
      <c r="G593" s="50" t="s">
        <v>3465</v>
      </c>
      <c r="H593" s="50" t="s">
        <v>1710</v>
      </c>
      <c r="I593" s="50"/>
      <c r="J593" s="50" t="s">
        <v>3080</v>
      </c>
      <c r="K593" s="50"/>
      <c r="L593" s="50"/>
      <c r="M593" s="50"/>
      <c r="N593" s="50"/>
      <c r="O593" s="50"/>
      <c r="P593" s="50"/>
      <c r="Q593" s="50"/>
      <c r="R593" s="50"/>
      <c r="S593" s="50"/>
      <c r="T593" s="50"/>
      <c r="U593" s="50"/>
      <c r="V593" s="50"/>
      <c r="W593" s="50"/>
      <c r="X593" s="50"/>
      <c r="Y593" s="50"/>
      <c r="Z593" s="50"/>
      <c r="AA593" s="50"/>
      <c r="AB593" s="50"/>
      <c r="AC593" s="50"/>
    </row>
    <row r="594">
      <c r="A594" s="48" t="s">
        <v>2648</v>
      </c>
      <c r="B594" s="49" t="s">
        <v>3466</v>
      </c>
      <c r="C594" s="48" t="s">
        <v>3467</v>
      </c>
      <c r="D594" s="50" t="str">
        <f>IFERROR(__xludf.DUMMYFUNCTION("""COMPUTED_VALUE"""),"Trompo")</f>
        <v>Trompo</v>
      </c>
      <c r="E594" s="50"/>
      <c r="F594" s="50" t="s">
        <v>3467</v>
      </c>
      <c r="G594" s="50" t="s">
        <v>3467</v>
      </c>
      <c r="H594" s="50" t="s">
        <v>1710</v>
      </c>
      <c r="I594" s="50"/>
      <c r="J594" s="50" t="s">
        <v>3080</v>
      </c>
      <c r="K594" s="50"/>
      <c r="L594" s="50"/>
      <c r="M594" s="50"/>
      <c r="N594" s="50"/>
      <c r="O594" s="50"/>
      <c r="P594" s="50"/>
      <c r="Q594" s="50"/>
      <c r="R594" s="50"/>
      <c r="S594" s="50"/>
      <c r="T594" s="50"/>
      <c r="U594" s="50"/>
      <c r="V594" s="50"/>
      <c r="W594" s="50"/>
      <c r="X594" s="50"/>
      <c r="Y594" s="50"/>
      <c r="Z594" s="50"/>
      <c r="AA594" s="50"/>
      <c r="AB594" s="50"/>
      <c r="AC594" s="50"/>
    </row>
    <row r="595">
      <c r="A595" s="48" t="s">
        <v>2648</v>
      </c>
      <c r="B595" s="49" t="s">
        <v>3468</v>
      </c>
      <c r="C595" s="48" t="s">
        <v>3469</v>
      </c>
      <c r="D595" s="50" t="str">
        <f>IFERROR(__xludf.DUMMYFUNCTION("""COMPUTED_VALUE"""),"Key West")</f>
        <v>Key West</v>
      </c>
      <c r="E595" s="50"/>
      <c r="F595" s="50" t="s">
        <v>3469</v>
      </c>
      <c r="G595" s="50" t="s">
        <v>3469</v>
      </c>
      <c r="H595" s="50" t="s">
        <v>1710</v>
      </c>
      <c r="I595" s="50"/>
      <c r="J595" s="50" t="s">
        <v>3087</v>
      </c>
      <c r="K595" s="50"/>
      <c r="L595" s="50"/>
      <c r="M595" s="50"/>
      <c r="N595" s="50"/>
      <c r="O595" s="50"/>
      <c r="P595" s="50"/>
      <c r="Q595" s="50"/>
      <c r="R595" s="50"/>
      <c r="S595" s="50"/>
      <c r="T595" s="50"/>
      <c r="U595" s="50"/>
      <c r="V595" s="50"/>
      <c r="W595" s="50"/>
      <c r="X595" s="50"/>
      <c r="Y595" s="50"/>
      <c r="Z595" s="50"/>
      <c r="AA595" s="50"/>
      <c r="AB595" s="50"/>
      <c r="AC595" s="50"/>
    </row>
    <row r="596">
      <c r="A596" s="48" t="s">
        <v>2648</v>
      </c>
      <c r="B596" s="49" t="s">
        <v>3470</v>
      </c>
      <c r="C596" s="48" t="s">
        <v>3471</v>
      </c>
      <c r="D596" s="50" t="str">
        <f>IFERROR(__xludf.DUMMYFUNCTION("""COMPUTED_VALUE"""),"Lorito")</f>
        <v>Lorito</v>
      </c>
      <c r="E596" s="50"/>
      <c r="F596" s="50" t="s">
        <v>3471</v>
      </c>
      <c r="G596" s="50" t="s">
        <v>3471</v>
      </c>
      <c r="H596" s="50" t="s">
        <v>1710</v>
      </c>
      <c r="I596" s="50"/>
      <c r="J596" s="50" t="s">
        <v>3087</v>
      </c>
      <c r="K596" s="50"/>
      <c r="L596" s="50"/>
      <c r="M596" s="50"/>
      <c r="N596" s="50"/>
      <c r="O596" s="50"/>
      <c r="P596" s="50"/>
      <c r="Q596" s="50"/>
      <c r="R596" s="50"/>
      <c r="S596" s="50"/>
      <c r="T596" s="50"/>
      <c r="U596" s="50"/>
      <c r="V596" s="50"/>
      <c r="W596" s="50"/>
      <c r="X596" s="50"/>
      <c r="Y596" s="50"/>
      <c r="Z596" s="50"/>
      <c r="AA596" s="50"/>
      <c r="AB596" s="50"/>
      <c r="AC596" s="50"/>
    </row>
    <row r="597">
      <c r="A597" s="48" t="s">
        <v>2648</v>
      </c>
      <c r="B597" s="49" t="s">
        <v>3472</v>
      </c>
      <c r="C597" s="48" t="s">
        <v>3473</v>
      </c>
      <c r="D597" s="50" t="str">
        <f>IFERROR(__xludf.DUMMYFUNCTION("""COMPUTED_VALUE"""),"Magaña")</f>
        <v>Magaña</v>
      </c>
      <c r="E597" s="50"/>
      <c r="F597" s="50" t="s">
        <v>3473</v>
      </c>
      <c r="G597" s="50" t="s">
        <v>3473</v>
      </c>
      <c r="H597" s="50" t="s">
        <v>1710</v>
      </c>
      <c r="I597" s="50"/>
      <c r="J597" s="50" t="s">
        <v>3087</v>
      </c>
      <c r="K597" s="50"/>
      <c r="L597" s="50"/>
      <c r="M597" s="50"/>
      <c r="N597" s="50"/>
      <c r="O597" s="50"/>
      <c r="P597" s="50"/>
      <c r="Q597" s="50"/>
      <c r="R597" s="50"/>
      <c r="S597" s="50"/>
      <c r="T597" s="50"/>
      <c r="U597" s="50"/>
      <c r="V597" s="50"/>
      <c r="W597" s="50"/>
      <c r="X597" s="50"/>
      <c r="Y597" s="50"/>
      <c r="Z597" s="50"/>
      <c r="AA597" s="50"/>
      <c r="AB597" s="50"/>
      <c r="AC597" s="50"/>
    </row>
    <row r="598">
      <c r="A598" s="48" t="s">
        <v>2648</v>
      </c>
      <c r="B598" s="49" t="s">
        <v>3474</v>
      </c>
      <c r="C598" s="48" t="s">
        <v>3475</v>
      </c>
      <c r="D598" s="50" t="str">
        <f>IFERROR(__xludf.DUMMYFUNCTION("""COMPUTED_VALUE"""),"Pantin")</f>
        <v>Pantin</v>
      </c>
      <c r="E598" s="50"/>
      <c r="F598" s="50" t="s">
        <v>3475</v>
      </c>
      <c r="G598" s="50" t="s">
        <v>3475</v>
      </c>
      <c r="H598" s="50" t="s">
        <v>1710</v>
      </c>
      <c r="I598" s="50"/>
      <c r="J598" s="50" t="s">
        <v>3087</v>
      </c>
      <c r="K598" s="50"/>
      <c r="L598" s="50"/>
      <c r="M598" s="50"/>
      <c r="N598" s="50"/>
      <c r="O598" s="50"/>
      <c r="P598" s="50"/>
      <c r="Q598" s="50"/>
      <c r="R598" s="50"/>
      <c r="S598" s="50"/>
      <c r="T598" s="50"/>
      <c r="U598" s="50"/>
      <c r="V598" s="50"/>
      <c r="W598" s="50"/>
      <c r="X598" s="50"/>
      <c r="Y598" s="50"/>
      <c r="Z598" s="50"/>
      <c r="AA598" s="50"/>
      <c r="AB598" s="50"/>
      <c r="AC598" s="50"/>
    </row>
    <row r="599">
      <c r="A599" s="48" t="s">
        <v>2648</v>
      </c>
      <c r="B599" s="49" t="s">
        <v>3476</v>
      </c>
      <c r="C599" s="48" t="s">
        <v>3477</v>
      </c>
      <c r="D599" s="50" t="str">
        <f>IFERROR(__xludf.DUMMYFUNCTION("""COMPUTED_VALUE"""),"Vieux")</f>
        <v>Vieux</v>
      </c>
      <c r="E599" s="50"/>
      <c r="F599" s="50" t="s">
        <v>3477</v>
      </c>
      <c r="G599" s="50" t="s">
        <v>3477</v>
      </c>
      <c r="H599" s="50" t="s">
        <v>1710</v>
      </c>
      <c r="I599" s="50"/>
      <c r="J599" s="50" t="s">
        <v>3087</v>
      </c>
      <c r="K599" s="50"/>
      <c r="L599" s="50"/>
      <c r="M599" s="50"/>
      <c r="N599" s="50"/>
      <c r="O599" s="50"/>
      <c r="P599" s="50"/>
      <c r="Q599" s="50"/>
      <c r="R599" s="50"/>
      <c r="S599" s="50"/>
      <c r="T599" s="50"/>
      <c r="U599" s="50"/>
      <c r="V599" s="50"/>
      <c r="W599" s="50"/>
      <c r="X599" s="50"/>
      <c r="Y599" s="50"/>
      <c r="Z599" s="50"/>
      <c r="AA599" s="50"/>
      <c r="AB599" s="50"/>
      <c r="AC599" s="50"/>
    </row>
    <row r="600">
      <c r="A600" s="48" t="s">
        <v>2648</v>
      </c>
      <c r="B600" s="49" t="s">
        <v>3478</v>
      </c>
      <c r="C600" s="48" t="s">
        <v>3479</v>
      </c>
      <c r="D600" s="50" t="str">
        <f>IFERROR(__xludf.DUMMYFUNCTION("""COMPUTED_VALUE"""),"Indonésie")</f>
        <v>Indonésie</v>
      </c>
      <c r="E600" s="50"/>
      <c r="F600" s="50" t="s">
        <v>3479</v>
      </c>
      <c r="G600" s="50" t="s">
        <v>3479</v>
      </c>
      <c r="H600" s="50" t="s">
        <v>1710</v>
      </c>
      <c r="I600" s="50"/>
      <c r="J600" s="50" t="s">
        <v>3090</v>
      </c>
      <c r="K600" s="50"/>
      <c r="L600" s="50"/>
      <c r="M600" s="50"/>
      <c r="N600" s="50"/>
      <c r="O600" s="50"/>
      <c r="P600" s="50"/>
      <c r="Q600" s="50"/>
      <c r="R600" s="50"/>
      <c r="S600" s="50"/>
      <c r="T600" s="50"/>
      <c r="U600" s="50"/>
      <c r="V600" s="50"/>
      <c r="W600" s="50"/>
      <c r="X600" s="50"/>
      <c r="Y600" s="50"/>
      <c r="Z600" s="50"/>
      <c r="AA600" s="50"/>
      <c r="AB600" s="50"/>
      <c r="AC600" s="50"/>
    </row>
    <row r="601">
      <c r="A601" s="48" t="s">
        <v>2648</v>
      </c>
      <c r="B601" s="49" t="s">
        <v>3480</v>
      </c>
      <c r="C601" s="48" t="s">
        <v>3481</v>
      </c>
      <c r="D601" s="50" t="str">
        <f>IFERROR(__xludf.DUMMYFUNCTION("""COMPUTED_VALUE"""),"Blanc Péruvien")</f>
        <v>Blanc Péruvien</v>
      </c>
      <c r="E601" s="50"/>
      <c r="F601" s="50" t="s">
        <v>3481</v>
      </c>
      <c r="G601" s="50" t="s">
        <v>3481</v>
      </c>
      <c r="H601" s="50" t="s">
        <v>1710</v>
      </c>
      <c r="I601" s="50"/>
      <c r="J601" s="50" t="s">
        <v>3090</v>
      </c>
      <c r="K601" s="50"/>
      <c r="L601" s="50"/>
      <c r="M601" s="50"/>
      <c r="N601" s="50"/>
      <c r="O601" s="50"/>
      <c r="P601" s="50"/>
      <c r="Q601" s="50"/>
      <c r="R601" s="50"/>
      <c r="S601" s="50"/>
      <c r="T601" s="50"/>
      <c r="U601" s="50"/>
      <c r="V601" s="50"/>
      <c r="W601" s="50"/>
      <c r="X601" s="50"/>
      <c r="Y601" s="50"/>
      <c r="Z601" s="50"/>
      <c r="AA601" s="50"/>
      <c r="AB601" s="50"/>
      <c r="AC601" s="50"/>
    </row>
    <row r="602">
      <c r="A602" s="48" t="s">
        <v>2648</v>
      </c>
      <c r="B602" s="49" t="s">
        <v>3482</v>
      </c>
      <c r="C602" s="48" t="s">
        <v>3483</v>
      </c>
      <c r="D602" s="50" t="str">
        <f>IFERROR(__xludf.DUMMYFUNCTION("""COMPUTED_VALUE"""),"Rose Mexicain")</f>
        <v>Rose Mexicain</v>
      </c>
      <c r="E602" s="50"/>
      <c r="F602" s="50" t="s">
        <v>3483</v>
      </c>
      <c r="G602" s="50" t="s">
        <v>3483</v>
      </c>
      <c r="H602" s="50" t="s">
        <v>1710</v>
      </c>
      <c r="I602" s="50"/>
      <c r="J602" s="50" t="s">
        <v>3090</v>
      </c>
      <c r="K602" s="50"/>
      <c r="L602" s="50"/>
      <c r="M602" s="50"/>
      <c r="N602" s="50"/>
      <c r="O602" s="50"/>
      <c r="P602" s="50"/>
      <c r="Q602" s="50"/>
      <c r="R602" s="50"/>
      <c r="S602" s="50"/>
      <c r="T602" s="50"/>
      <c r="U602" s="50"/>
      <c r="V602" s="50"/>
      <c r="W602" s="50"/>
      <c r="X602" s="50"/>
      <c r="Y602" s="50"/>
      <c r="Z602" s="50"/>
      <c r="AA602" s="50"/>
      <c r="AB602" s="50"/>
      <c r="AC602" s="50"/>
    </row>
    <row r="603">
      <c r="A603" s="48" t="s">
        <v>2648</v>
      </c>
      <c r="B603" s="49" t="s">
        <v>3484</v>
      </c>
      <c r="C603" s="48" t="s">
        <v>3485</v>
      </c>
      <c r="D603" s="50" t="str">
        <f>IFERROR(__xludf.DUMMYFUNCTION("""COMPUTED_VALUE"""),"Rubis Suprême")</f>
        <v>Rubis Suprême</v>
      </c>
      <c r="E603" s="50"/>
      <c r="F603" s="50" t="s">
        <v>3485</v>
      </c>
      <c r="G603" s="50" t="s">
        <v>3485</v>
      </c>
      <c r="H603" s="50" t="s">
        <v>1710</v>
      </c>
      <c r="I603" s="50"/>
      <c r="J603" s="50" t="s">
        <v>3090</v>
      </c>
      <c r="K603" s="50"/>
      <c r="L603" s="50"/>
      <c r="M603" s="50"/>
      <c r="N603" s="50"/>
      <c r="O603" s="50"/>
      <c r="P603" s="50"/>
      <c r="Q603" s="50"/>
      <c r="R603" s="50"/>
      <c r="S603" s="50"/>
      <c r="T603" s="50"/>
      <c r="U603" s="50"/>
      <c r="V603" s="50"/>
      <c r="W603" s="50"/>
      <c r="X603" s="50"/>
      <c r="Y603" s="50"/>
      <c r="Z603" s="50"/>
      <c r="AA603" s="50"/>
      <c r="AB603" s="50"/>
      <c r="AC603" s="50"/>
    </row>
    <row r="604">
      <c r="A604" s="48" t="s">
        <v>2648</v>
      </c>
      <c r="B604" s="49" t="s">
        <v>3486</v>
      </c>
      <c r="C604" s="48" t="s">
        <v>3487</v>
      </c>
      <c r="D604" s="50" t="str">
        <f>IFERROR(__xludf.DUMMYFUNCTION("""COMPUTED_VALUE"""),"Goyave Thaïlandaise")</f>
        <v>Goyave Thaïlandaise</v>
      </c>
      <c r="E604" s="50"/>
      <c r="F604" s="50" t="s">
        <v>3487</v>
      </c>
      <c r="G604" s="50" t="s">
        <v>3487</v>
      </c>
      <c r="H604" s="50" t="s">
        <v>1710</v>
      </c>
      <c r="I604" s="50"/>
      <c r="J604" s="50" t="s">
        <v>3090</v>
      </c>
      <c r="K604" s="50"/>
      <c r="L604" s="50"/>
      <c r="M604" s="50"/>
      <c r="N604" s="50"/>
      <c r="O604" s="50"/>
      <c r="P604" s="50"/>
      <c r="Q604" s="50"/>
      <c r="R604" s="50"/>
      <c r="S604" s="50"/>
      <c r="T604" s="50"/>
      <c r="U604" s="50"/>
      <c r="V604" s="50"/>
      <c r="W604" s="50"/>
      <c r="X604" s="50"/>
      <c r="Y604" s="50"/>
      <c r="Z604" s="50"/>
      <c r="AA604" s="50"/>
      <c r="AB604" s="50"/>
      <c r="AC604" s="50"/>
    </row>
    <row r="605">
      <c r="A605" s="48" t="s">
        <v>2648</v>
      </c>
      <c r="B605" s="49" t="s">
        <v>3488</v>
      </c>
      <c r="C605" s="48" t="s">
        <v>3489</v>
      </c>
      <c r="D605" s="50" t="str">
        <f>IFERROR(__xludf.DUMMYFUNCTION("""COMPUTED_VALUE"""),"Azadi")</f>
        <v>Azadi</v>
      </c>
      <c r="E605" s="50"/>
      <c r="F605" s="50" t="s">
        <v>3489</v>
      </c>
      <c r="G605" s="50" t="s">
        <v>3489</v>
      </c>
      <c r="H605" s="50" t="s">
        <v>1710</v>
      </c>
      <c r="I605" s="50"/>
      <c r="J605" s="50" t="s">
        <v>3094</v>
      </c>
      <c r="K605" s="50"/>
      <c r="L605" s="50"/>
      <c r="M605" s="50"/>
      <c r="N605" s="50"/>
      <c r="O605" s="50"/>
      <c r="P605" s="50"/>
      <c r="Q605" s="50"/>
      <c r="R605" s="50"/>
      <c r="S605" s="50"/>
      <c r="T605" s="50"/>
      <c r="U605" s="50"/>
      <c r="V605" s="50"/>
      <c r="W605" s="50"/>
      <c r="X605" s="50"/>
      <c r="Y605" s="50"/>
      <c r="Z605" s="50"/>
      <c r="AA605" s="50"/>
      <c r="AB605" s="50"/>
      <c r="AC605" s="50"/>
    </row>
    <row r="606">
      <c r="A606" s="48" t="s">
        <v>2648</v>
      </c>
      <c r="B606" s="49" t="s">
        <v>3490</v>
      </c>
      <c r="C606" s="48" t="s">
        <v>3491</v>
      </c>
      <c r="D606" s="50" t="str">
        <f>IFERROR(__xludf.DUMMYFUNCTION("""COMPUTED_VALUE"""),"Nain Rouge")</f>
        <v>Nain Rouge</v>
      </c>
      <c r="E606" s="50"/>
      <c r="F606" s="50" t="s">
        <v>3491</v>
      </c>
      <c r="G606" s="50" t="s">
        <v>3491</v>
      </c>
      <c r="H606" s="50" t="s">
        <v>1710</v>
      </c>
      <c r="I606" s="50"/>
      <c r="J606" s="50" t="s">
        <v>3094</v>
      </c>
      <c r="K606" s="50"/>
      <c r="L606" s="50"/>
      <c r="M606" s="50"/>
      <c r="N606" s="50"/>
      <c r="O606" s="50"/>
      <c r="P606" s="50"/>
      <c r="Q606" s="50"/>
      <c r="R606" s="50"/>
      <c r="S606" s="50"/>
      <c r="T606" s="50"/>
      <c r="U606" s="50"/>
      <c r="V606" s="50"/>
      <c r="W606" s="50"/>
      <c r="X606" s="50"/>
      <c r="Y606" s="50"/>
      <c r="Z606" s="50"/>
      <c r="AA606" s="50"/>
      <c r="AB606" s="50"/>
      <c r="AC606" s="50"/>
    </row>
    <row r="607">
      <c r="A607" s="48" t="s">
        <v>2648</v>
      </c>
      <c r="B607" s="49" t="s">
        <v>3492</v>
      </c>
      <c r="C607" s="48" t="s">
        <v>3493</v>
      </c>
      <c r="D607" s="50" t="str">
        <f>IFERROR(__xludf.DUMMYFUNCTION("""COMPUTED_VALUE"""),"Hyrdanar X Kirmizy-Akbuh")</f>
        <v>Hyrdanar X Kirmizy-Akbuh</v>
      </c>
      <c r="E607" s="50"/>
      <c r="F607" s="50" t="s">
        <v>3493</v>
      </c>
      <c r="G607" s="50" t="s">
        <v>3493</v>
      </c>
      <c r="H607" s="50" t="s">
        <v>1710</v>
      </c>
      <c r="I607" s="50"/>
      <c r="J607" s="50" t="s">
        <v>3094</v>
      </c>
      <c r="K607" s="50"/>
      <c r="L607" s="50"/>
      <c r="M607" s="50"/>
      <c r="N607" s="50"/>
      <c r="O607" s="50"/>
      <c r="P607" s="50"/>
      <c r="Q607" s="50"/>
      <c r="R607" s="50"/>
      <c r="S607" s="50"/>
      <c r="T607" s="50"/>
      <c r="U607" s="50"/>
      <c r="V607" s="50"/>
      <c r="W607" s="50"/>
      <c r="X607" s="50"/>
      <c r="Y607" s="50"/>
      <c r="Z607" s="50"/>
      <c r="AA607" s="50"/>
      <c r="AB607" s="50"/>
      <c r="AC607" s="50"/>
    </row>
    <row r="608">
      <c r="A608" s="48" t="s">
        <v>2648</v>
      </c>
      <c r="B608" s="49" t="s">
        <v>3494</v>
      </c>
      <c r="C608" s="48" t="s">
        <v>3495</v>
      </c>
      <c r="D608" s="50" t="str">
        <f>IFERROR(__xludf.DUMMYFUNCTION("""COMPUTED_VALUE"""),"Orange")</f>
        <v>Orange</v>
      </c>
      <c r="E608" s="50"/>
      <c r="F608" s="50" t="s">
        <v>3495</v>
      </c>
      <c r="G608" s="50" t="s">
        <v>3495</v>
      </c>
      <c r="H608" s="50" t="s">
        <v>1710</v>
      </c>
      <c r="I608" s="50"/>
      <c r="J608" s="50" t="s">
        <v>3094</v>
      </c>
      <c r="K608" s="50"/>
      <c r="L608" s="50"/>
      <c r="M608" s="50"/>
      <c r="N608" s="50"/>
      <c r="O608" s="50"/>
      <c r="P608" s="50"/>
      <c r="Q608" s="50"/>
      <c r="R608" s="50"/>
      <c r="S608" s="50"/>
      <c r="T608" s="50"/>
      <c r="U608" s="50"/>
      <c r="V608" s="50"/>
      <c r="W608" s="50"/>
      <c r="X608" s="50"/>
      <c r="Y608" s="50"/>
      <c r="Z608" s="50"/>
      <c r="AA608" s="50"/>
      <c r="AB608" s="50"/>
      <c r="AC608" s="50"/>
    </row>
    <row r="609">
      <c r="A609" s="48" t="s">
        <v>2648</v>
      </c>
      <c r="B609" s="49" t="s">
        <v>3496</v>
      </c>
      <c r="C609" s="48" t="s">
        <v>3497</v>
      </c>
      <c r="D609" s="50" t="str">
        <f>IFERROR(__xludf.DUMMYFUNCTION("""COMPUTED_VALUE"""),"Palerme")</f>
        <v>Palerme</v>
      </c>
      <c r="E609" s="50"/>
      <c r="F609" s="50" t="s">
        <v>3497</v>
      </c>
      <c r="G609" s="50" t="s">
        <v>3497</v>
      </c>
      <c r="H609" s="50" t="s">
        <v>1710</v>
      </c>
      <c r="I609" s="50"/>
      <c r="J609" s="50" t="s">
        <v>3094</v>
      </c>
      <c r="K609" s="50"/>
      <c r="L609" s="50"/>
      <c r="M609" s="50"/>
      <c r="N609" s="50"/>
      <c r="O609" s="50"/>
      <c r="P609" s="50"/>
      <c r="Q609" s="50"/>
      <c r="R609" s="50"/>
      <c r="S609" s="50"/>
      <c r="T609" s="50"/>
      <c r="U609" s="50"/>
      <c r="V609" s="50"/>
      <c r="W609" s="50"/>
      <c r="X609" s="50"/>
      <c r="Y609" s="50"/>
      <c r="Z609" s="50"/>
      <c r="AA609" s="50"/>
      <c r="AB609" s="50"/>
      <c r="AC609" s="50"/>
    </row>
    <row r="610">
      <c r="A610" s="48" t="s">
        <v>2648</v>
      </c>
      <c r="B610" s="49" t="s">
        <v>3498</v>
      </c>
      <c r="C610" s="48" t="s">
        <v>3499</v>
      </c>
      <c r="D610" s="50" t="str">
        <f>IFERROR(__xludf.DUMMYFUNCTION("""COMPUTED_VALUE"""),"Salavatski")</f>
        <v>Salavatski</v>
      </c>
      <c r="E610" s="50"/>
      <c r="F610" s="50" t="s">
        <v>3499</v>
      </c>
      <c r="G610" s="50" t="s">
        <v>3499</v>
      </c>
      <c r="H610" s="50" t="s">
        <v>1710</v>
      </c>
      <c r="I610" s="50"/>
      <c r="J610" s="50" t="s">
        <v>3094</v>
      </c>
      <c r="K610" s="50"/>
      <c r="L610" s="50"/>
      <c r="M610" s="50"/>
      <c r="N610" s="50"/>
      <c r="O610" s="50"/>
      <c r="P610" s="50"/>
      <c r="Q610" s="50"/>
      <c r="R610" s="50"/>
      <c r="S610" s="50"/>
      <c r="T610" s="50"/>
      <c r="U610" s="50"/>
      <c r="V610" s="50"/>
      <c r="W610" s="50"/>
      <c r="X610" s="50"/>
      <c r="Y610" s="50"/>
      <c r="Z610" s="50"/>
      <c r="AA610" s="50"/>
      <c r="AB610" s="50"/>
      <c r="AC610" s="50"/>
    </row>
    <row r="611">
      <c r="A611" s="48" t="s">
        <v>2648</v>
      </c>
      <c r="B611" s="49" t="s">
        <v>3500</v>
      </c>
      <c r="C611" s="48" t="s">
        <v>3501</v>
      </c>
      <c r="D611" s="50" t="str">
        <f>IFERROR(__xludf.DUMMYFUNCTION("""COMPUTED_VALUE"""),"Rose Vietnamien")</f>
        <v>Rose Vietnamien</v>
      </c>
      <c r="E611" s="50"/>
      <c r="F611" s="50" t="s">
        <v>3501</v>
      </c>
      <c r="G611" s="50" t="s">
        <v>3501</v>
      </c>
      <c r="H611" s="50" t="s">
        <v>1710</v>
      </c>
      <c r="I611" s="50"/>
      <c r="J611" s="50" t="s">
        <v>3094</v>
      </c>
      <c r="K611" s="50"/>
      <c r="L611" s="50"/>
      <c r="M611" s="50"/>
      <c r="N611" s="50"/>
      <c r="O611" s="50"/>
      <c r="P611" s="50"/>
      <c r="Q611" s="50"/>
      <c r="R611" s="50"/>
      <c r="S611" s="50"/>
      <c r="T611" s="50"/>
      <c r="U611" s="50"/>
      <c r="V611" s="50"/>
      <c r="W611" s="50"/>
      <c r="X611" s="50"/>
      <c r="Y611" s="50"/>
      <c r="Z611" s="50"/>
      <c r="AA611" s="50"/>
      <c r="AB611" s="50"/>
      <c r="AC611" s="50"/>
    </row>
    <row r="612">
      <c r="A612" s="48" t="s">
        <v>2648</v>
      </c>
      <c r="B612" s="49" t="s">
        <v>3502</v>
      </c>
      <c r="C612" s="48" t="s">
        <v>3503</v>
      </c>
      <c r="D612" s="50" t="str">
        <f>IFERROR(__xludf.DUMMYFUNCTION("""COMPUTED_VALUE"""),"Cerise Noire")</f>
        <v>Cerise Noire</v>
      </c>
      <c r="E612" s="50"/>
      <c r="F612" s="50" t="s">
        <v>3503</v>
      </c>
      <c r="G612" s="50" t="s">
        <v>3503</v>
      </c>
      <c r="H612" s="50" t="s">
        <v>1710</v>
      </c>
      <c r="I612" s="50"/>
      <c r="J612" s="50" t="s">
        <v>3107</v>
      </c>
      <c r="K612" s="50"/>
      <c r="L612" s="50"/>
      <c r="M612" s="50"/>
      <c r="N612" s="50"/>
      <c r="O612" s="50"/>
      <c r="P612" s="50"/>
      <c r="Q612" s="50"/>
      <c r="R612" s="50"/>
      <c r="S612" s="50"/>
      <c r="T612" s="50"/>
      <c r="U612" s="50"/>
      <c r="V612" s="50"/>
      <c r="W612" s="50"/>
      <c r="X612" s="50"/>
      <c r="Y612" s="50"/>
      <c r="Z612" s="50"/>
      <c r="AA612" s="50"/>
      <c r="AB612" s="50"/>
      <c r="AC612" s="50"/>
    </row>
    <row r="613">
      <c r="A613" s="48" t="s">
        <v>2648</v>
      </c>
      <c r="B613" s="49" t="s">
        <v>3504</v>
      </c>
      <c r="C613" s="48" t="s">
        <v>3505</v>
      </c>
      <c r="D613" s="50" t="str">
        <f>IFERROR(__xludf.DUMMYFUNCTION("""COMPUTED_VALUE"""),"Blondkopfchen")</f>
        <v>Blondkopfchen</v>
      </c>
      <c r="E613" s="50"/>
      <c r="F613" s="50" t="s">
        <v>3505</v>
      </c>
      <c r="G613" s="50" t="s">
        <v>3505</v>
      </c>
      <c r="H613" s="50" t="s">
        <v>1710</v>
      </c>
      <c r="I613" s="50"/>
      <c r="J613" s="50" t="s">
        <v>3107</v>
      </c>
      <c r="K613" s="50"/>
      <c r="L613" s="50"/>
      <c r="M613" s="50"/>
      <c r="N613" s="50"/>
      <c r="O613" s="50"/>
      <c r="P613" s="50"/>
      <c r="Q613" s="50"/>
      <c r="R613" s="50"/>
      <c r="S613" s="50"/>
      <c r="T613" s="50"/>
      <c r="U613" s="50"/>
      <c r="V613" s="50"/>
      <c r="W613" s="50"/>
      <c r="X613" s="50"/>
      <c r="Y613" s="50"/>
      <c r="Z613" s="50"/>
      <c r="AA613" s="50"/>
      <c r="AB613" s="50"/>
      <c r="AC613" s="50"/>
    </row>
    <row r="614">
      <c r="A614" s="48" t="s">
        <v>2648</v>
      </c>
      <c r="B614" s="49" t="s">
        <v>3506</v>
      </c>
      <c r="C614" s="48" t="s">
        <v>3507</v>
      </c>
      <c r="D614" s="50" t="str">
        <f>IFERROR(__xludf.DUMMYFUNCTION("""COMPUTED_VALUE"""),"Cerise Jaune Igleheart")</f>
        <v>Cerise Jaune Igleheart</v>
      </c>
      <c r="E614" s="50"/>
      <c r="F614" s="50" t="s">
        <v>3507</v>
      </c>
      <c r="G614" s="50" t="s">
        <v>3507</v>
      </c>
      <c r="H614" s="50" t="s">
        <v>1710</v>
      </c>
      <c r="I614" s="50"/>
      <c r="J614" s="50" t="s">
        <v>3107</v>
      </c>
      <c r="K614" s="50"/>
      <c r="L614" s="50"/>
      <c r="M614" s="50"/>
      <c r="N614" s="50"/>
      <c r="O614" s="50"/>
      <c r="P614" s="50"/>
      <c r="Q614" s="50"/>
      <c r="R614" s="50"/>
      <c r="S614" s="50"/>
      <c r="T614" s="50"/>
      <c r="U614" s="50"/>
      <c r="V614" s="50"/>
      <c r="W614" s="50"/>
      <c r="X614" s="50"/>
      <c r="Y614" s="50"/>
      <c r="Z614" s="50"/>
      <c r="AA614" s="50"/>
      <c r="AB614" s="50"/>
      <c r="AC614" s="50"/>
    </row>
    <row r="615">
      <c r="A615" s="48" t="s">
        <v>2648</v>
      </c>
      <c r="B615" s="49" t="s">
        <v>3508</v>
      </c>
      <c r="C615" s="48" t="s">
        <v>3509</v>
      </c>
      <c r="D615" s="50" t="str">
        <f>IFERROR(__xludf.DUMMYFUNCTION("""COMPUTED_VALUE"""),"Midget Du Mexique")</f>
        <v>Midget Du Mexique</v>
      </c>
      <c r="E615" s="50"/>
      <c r="F615" s="50" t="s">
        <v>3509</v>
      </c>
      <c r="G615" s="50" t="s">
        <v>3509</v>
      </c>
      <c r="H615" s="50" t="s">
        <v>1710</v>
      </c>
      <c r="I615" s="50"/>
      <c r="J615" s="50" t="s">
        <v>3107</v>
      </c>
      <c r="K615" s="50"/>
      <c r="L615" s="50"/>
      <c r="M615" s="50"/>
      <c r="N615" s="50"/>
      <c r="O615" s="50"/>
      <c r="P615" s="50"/>
      <c r="Q615" s="50"/>
      <c r="R615" s="50"/>
      <c r="S615" s="50"/>
      <c r="T615" s="50"/>
      <c r="U615" s="50"/>
      <c r="V615" s="50"/>
      <c r="W615" s="50"/>
      <c r="X615" s="50"/>
      <c r="Y615" s="50"/>
      <c r="Z615" s="50"/>
      <c r="AA615" s="50"/>
      <c r="AB615" s="50"/>
      <c r="AC615" s="50"/>
    </row>
    <row r="616">
      <c r="A616" s="48" t="s">
        <v>2648</v>
      </c>
      <c r="B616" s="49" t="s">
        <v>3510</v>
      </c>
      <c r="C616" s="48" t="s">
        <v>3511</v>
      </c>
      <c r="D616" s="50" t="str">
        <f>IFERROR(__xludf.DUMMYFUNCTION("""COMPUTED_VALUE"""),"Cerise Blanche")</f>
        <v>Cerise Blanche</v>
      </c>
      <c r="E616" s="50"/>
      <c r="F616" s="50" t="s">
        <v>3511</v>
      </c>
      <c r="G616" s="50" t="s">
        <v>3511</v>
      </c>
      <c r="H616" s="50" t="s">
        <v>1710</v>
      </c>
      <c r="I616" s="50"/>
      <c r="J616" s="50" t="s">
        <v>3107</v>
      </c>
      <c r="K616" s="50"/>
      <c r="L616" s="50"/>
      <c r="M616" s="50"/>
      <c r="N616" s="50"/>
      <c r="O616" s="50"/>
      <c r="P616" s="50"/>
      <c r="Q616" s="50"/>
      <c r="R616" s="50"/>
      <c r="S616" s="50"/>
      <c r="T616" s="50"/>
      <c r="U616" s="50"/>
      <c r="V616" s="50"/>
      <c r="W616" s="50"/>
      <c r="X616" s="50"/>
      <c r="Y616" s="50"/>
      <c r="Z616" s="50"/>
      <c r="AA616" s="50"/>
      <c r="AB616" s="50"/>
      <c r="AC616" s="50"/>
    </row>
    <row r="617">
      <c r="A617" s="48" t="s">
        <v>2648</v>
      </c>
      <c r="B617" s="49" t="s">
        <v>3512</v>
      </c>
      <c r="C617" s="48" t="s">
        <v>3513</v>
      </c>
      <c r="D617" s="50" t="str">
        <f>IFERROR(__xludf.DUMMYFUNCTION("""COMPUTED_VALUE"""),"Tahitensis")</f>
        <v>Tahitensis</v>
      </c>
      <c r="E617" s="50"/>
      <c r="F617" s="50" t="s">
        <v>3513</v>
      </c>
      <c r="G617" s="50" t="s">
        <v>3513</v>
      </c>
      <c r="H617" s="50" t="s">
        <v>1710</v>
      </c>
      <c r="I617" s="50"/>
      <c r="J617" s="50" t="s">
        <v>3145</v>
      </c>
      <c r="K617" s="50"/>
      <c r="L617" s="50"/>
      <c r="M617" s="50"/>
      <c r="N617" s="50"/>
      <c r="O617" s="50"/>
      <c r="P617" s="50"/>
      <c r="Q617" s="50"/>
      <c r="R617" s="50"/>
      <c r="S617" s="50"/>
      <c r="T617" s="50"/>
      <c r="U617" s="50"/>
      <c r="V617" s="50"/>
      <c r="W617" s="50"/>
      <c r="X617" s="50"/>
      <c r="Y617" s="50"/>
      <c r="Z617" s="50"/>
      <c r="AA617" s="50"/>
      <c r="AB617" s="50"/>
      <c r="AC617" s="50"/>
    </row>
    <row r="618">
      <c r="A618" s="48" t="s">
        <v>2648</v>
      </c>
      <c r="B618" s="49" t="s">
        <v>3514</v>
      </c>
      <c r="C618" s="48" t="s">
        <v>3515</v>
      </c>
      <c r="D618" s="50" t="str">
        <f>IFERROR(__xludf.DUMMYFUNCTION("""COMPUTED_VALUE"""),"Aztèque Noir")</f>
        <v>Aztèque Noir</v>
      </c>
      <c r="E618" s="50"/>
      <c r="F618" s="50" t="s">
        <v>3515</v>
      </c>
      <c r="G618" s="50" t="s">
        <v>3515</v>
      </c>
      <c r="H618" s="50" t="s">
        <v>1710</v>
      </c>
      <c r="I618" s="50"/>
      <c r="J618" s="50" t="s">
        <v>3157</v>
      </c>
      <c r="K618" s="50"/>
      <c r="L618" s="50"/>
      <c r="M618" s="50"/>
      <c r="N618" s="50"/>
      <c r="O618" s="50"/>
      <c r="P618" s="50"/>
      <c r="Q618" s="50"/>
      <c r="R618" s="50"/>
      <c r="S618" s="50"/>
      <c r="T618" s="50"/>
      <c r="U618" s="50"/>
      <c r="V618" s="50"/>
      <c r="W618" s="50"/>
      <c r="X618" s="50"/>
      <c r="Y618" s="50"/>
      <c r="Z618" s="50"/>
      <c r="AA618" s="50"/>
      <c r="AB618" s="50"/>
      <c r="AC618" s="50"/>
    </row>
    <row r="619">
      <c r="A619" s="48" t="s">
        <v>2648</v>
      </c>
      <c r="B619" s="49" t="s">
        <v>3516</v>
      </c>
      <c r="C619" s="48" t="s">
        <v>3517</v>
      </c>
      <c r="D619" s="50" t="str">
        <f>IFERROR(__xludf.DUMMYFUNCTION("""COMPUTED_VALUE"""),"Jade Bleu")</f>
        <v>Jade Bleu</v>
      </c>
      <c r="E619" s="50"/>
      <c r="F619" s="50" t="s">
        <v>3517</v>
      </c>
      <c r="G619" s="50" t="s">
        <v>3517</v>
      </c>
      <c r="H619" s="50" t="s">
        <v>1710</v>
      </c>
      <c r="I619" s="50"/>
      <c r="J619" s="50" t="s">
        <v>3157</v>
      </c>
      <c r="K619" s="50"/>
      <c r="L619" s="50"/>
      <c r="M619" s="50"/>
      <c r="N619" s="50"/>
      <c r="O619" s="50"/>
      <c r="P619" s="50"/>
      <c r="Q619" s="50"/>
      <c r="R619" s="50"/>
      <c r="S619" s="50"/>
      <c r="T619" s="50"/>
      <c r="U619" s="50"/>
      <c r="V619" s="50"/>
      <c r="W619" s="50"/>
      <c r="X619" s="50"/>
      <c r="Y619" s="50"/>
      <c r="Z619" s="50"/>
      <c r="AA619" s="50"/>
      <c r="AB619" s="50"/>
      <c r="AC619" s="50"/>
    </row>
    <row r="620">
      <c r="A620" s="48" t="s">
        <v>2648</v>
      </c>
      <c r="B620" s="49" t="s">
        <v>3518</v>
      </c>
      <c r="C620" s="48" t="s">
        <v>3519</v>
      </c>
      <c r="D620" s="50" t="str">
        <f>IFERROR(__xludf.DUMMYFUNCTION("""COMPUTED_VALUE"""),"Ladyfinger 'Richard Waldron'")</f>
        <v>Ladyfinger 'Richard Waldron'</v>
      </c>
      <c r="E620" s="50"/>
      <c r="F620" s="50" t="s">
        <v>3519</v>
      </c>
      <c r="G620" s="50" t="s">
        <v>3519</v>
      </c>
      <c r="H620" s="50" t="s">
        <v>1710</v>
      </c>
      <c r="I620" s="50"/>
      <c r="J620" s="50" t="s">
        <v>2744</v>
      </c>
      <c r="K620" s="50"/>
      <c r="L620" s="50"/>
      <c r="M620" s="50"/>
      <c r="N620" s="50"/>
      <c r="O620" s="50"/>
      <c r="P620" s="50"/>
      <c r="Q620" s="50"/>
      <c r="R620" s="50"/>
      <c r="S620" s="50"/>
      <c r="T620" s="50"/>
      <c r="U620" s="50"/>
      <c r="V620" s="50"/>
      <c r="W620" s="50"/>
      <c r="X620" s="50"/>
      <c r="Y620" s="50"/>
      <c r="Z620" s="50"/>
      <c r="AA620" s="50"/>
      <c r="AB620" s="50"/>
      <c r="AC620" s="50"/>
    </row>
    <row r="621">
      <c r="A621" s="48" t="s">
        <v>2648</v>
      </c>
      <c r="B621" s="49" t="s">
        <v>3520</v>
      </c>
      <c r="C621" s="48" t="s">
        <v>3521</v>
      </c>
      <c r="D621" s="50" t="str">
        <f>IFERROR(__xludf.DUMMYFUNCTION("""COMPUTED_VALUE"""),"Brise De Mer")</f>
        <v>Brise De Mer</v>
      </c>
      <c r="E621" s="50"/>
      <c r="F621" s="50" t="s">
        <v>3521</v>
      </c>
      <c r="G621" s="50" t="s">
        <v>3521</v>
      </c>
      <c r="H621" s="50" t="s">
        <v>1710</v>
      </c>
      <c r="I621" s="50"/>
      <c r="J621" s="50" t="s">
        <v>2744</v>
      </c>
      <c r="K621" s="50"/>
      <c r="L621" s="50"/>
      <c r="M621" s="50"/>
      <c r="N621" s="50"/>
      <c r="O621" s="50"/>
      <c r="P621" s="50"/>
      <c r="Q621" s="50"/>
      <c r="R621" s="50"/>
      <c r="S621" s="50"/>
      <c r="T621" s="50"/>
      <c r="U621" s="50"/>
      <c r="V621" s="50"/>
      <c r="W621" s="50"/>
      <c r="X621" s="50"/>
      <c r="Y621" s="50"/>
      <c r="Z621" s="50"/>
      <c r="AA621" s="50"/>
      <c r="AB621" s="50"/>
      <c r="AC621" s="50"/>
    </row>
    <row r="622">
      <c r="A622" s="48" t="s">
        <v>2648</v>
      </c>
      <c r="B622" s="49" t="s">
        <v>3522</v>
      </c>
      <c r="C622" s="48" t="s">
        <v>3523</v>
      </c>
      <c r="D622" s="50" t="str">
        <f>IFERROR(__xludf.DUMMYFUNCTION("""COMPUTED_VALUE"""),"Gracieux 'Gracilis', Bambou Tisserand")</f>
        <v>Gracieux 'Gracilis', Bambou Tisserand</v>
      </c>
      <c r="E622" s="50"/>
      <c r="F622" s="50" t="s">
        <v>3523</v>
      </c>
      <c r="G622" s="50" t="s">
        <v>3523</v>
      </c>
      <c r="H622" s="50" t="s">
        <v>1710</v>
      </c>
      <c r="I622" s="50"/>
      <c r="J622" s="50" t="s">
        <v>2744</v>
      </c>
      <c r="K622" s="50"/>
      <c r="L622" s="50"/>
      <c r="M622" s="50"/>
      <c r="N622" s="50"/>
      <c r="O622" s="50"/>
      <c r="P622" s="50"/>
      <c r="Q622" s="50"/>
      <c r="R622" s="50"/>
      <c r="S622" s="50"/>
      <c r="T622" s="50"/>
      <c r="U622" s="50"/>
      <c r="V622" s="50"/>
      <c r="W622" s="50"/>
      <c r="X622" s="50"/>
      <c r="Y622" s="50"/>
      <c r="Z622" s="50"/>
      <c r="AA622" s="50"/>
      <c r="AB622" s="50"/>
      <c r="AC622" s="50"/>
    </row>
    <row r="623">
      <c r="A623" s="48" t="s">
        <v>2648</v>
      </c>
      <c r="B623" s="49" t="s">
        <v>3524</v>
      </c>
      <c r="C623" s="48" t="s">
        <v>3525</v>
      </c>
      <c r="D623" s="50" t="str">
        <f>IFERROR(__xludf.DUMMYFUNCTION("""COMPUTED_VALUE"""),"Malais Nain Panaché")</f>
        <v>Malais Nain Panaché</v>
      </c>
      <c r="E623" s="50"/>
      <c r="F623" s="50" t="s">
        <v>3525</v>
      </c>
      <c r="G623" s="50" t="s">
        <v>3525</v>
      </c>
      <c r="H623" s="50" t="s">
        <v>1710</v>
      </c>
      <c r="I623" s="50"/>
      <c r="J623" s="50" t="s">
        <v>2744</v>
      </c>
      <c r="K623" s="50"/>
      <c r="L623" s="50"/>
      <c r="M623" s="50"/>
      <c r="N623" s="50"/>
      <c r="O623" s="50"/>
      <c r="P623" s="50"/>
      <c r="Q623" s="50"/>
      <c r="R623" s="50"/>
      <c r="S623" s="50"/>
      <c r="T623" s="50"/>
      <c r="U623" s="50"/>
      <c r="V623" s="50"/>
      <c r="W623" s="50"/>
      <c r="X623" s="50"/>
      <c r="Y623" s="50"/>
      <c r="Z623" s="50"/>
      <c r="AA623" s="50"/>
      <c r="AB623" s="50"/>
      <c r="AC623" s="50"/>
    </row>
    <row r="624">
      <c r="A624" s="48"/>
      <c r="B624" s="49"/>
      <c r="C624" s="48"/>
      <c r="D624" s="50" t="str">
        <f>IFERROR(__xludf.DUMMYFUNCTION("""COMPUTED_VALUE"""),"")</f>
        <v/>
      </c>
      <c r="E624" s="50"/>
      <c r="F624" s="50"/>
      <c r="G624" s="50"/>
      <c r="H624" s="50" t="s">
        <v>1710</v>
      </c>
      <c r="I624" s="50"/>
      <c r="J624" s="50"/>
      <c r="K624" s="50"/>
      <c r="L624" s="50"/>
      <c r="M624" s="50"/>
      <c r="N624" s="50"/>
      <c r="O624" s="50"/>
      <c r="P624" s="50"/>
      <c r="Q624" s="50"/>
      <c r="R624" s="50"/>
      <c r="S624" s="50"/>
      <c r="T624" s="50"/>
      <c r="U624" s="50"/>
      <c r="V624" s="50"/>
      <c r="W624" s="50"/>
      <c r="X624" s="50"/>
      <c r="Y624" s="50"/>
      <c r="Z624" s="50"/>
      <c r="AA624" s="50"/>
      <c r="AB624" s="50"/>
      <c r="AC624" s="50"/>
    </row>
    <row r="625">
      <c r="A625" s="48" t="s">
        <v>2648</v>
      </c>
      <c r="B625" s="49" t="s">
        <v>3526</v>
      </c>
      <c r="C625" s="48" t="s">
        <v>3459</v>
      </c>
      <c r="D625" s="50" t="str">
        <f>IFERROR(__xludf.DUMMYFUNCTION("""COMPUTED_VALUE"""),"Fairchild")</f>
        <v>Fairchild</v>
      </c>
      <c r="E625" s="50"/>
      <c r="F625" s="50"/>
      <c r="G625" s="50"/>
      <c r="H625" s="50" t="s">
        <v>1710</v>
      </c>
      <c r="I625" s="50"/>
      <c r="J625" s="50" t="s">
        <v>2966</v>
      </c>
      <c r="K625" s="50"/>
      <c r="L625" s="50"/>
      <c r="M625" s="50"/>
      <c r="N625" s="50"/>
      <c r="O625" s="50"/>
      <c r="P625" s="50"/>
      <c r="Q625" s="50"/>
      <c r="R625" s="50"/>
      <c r="S625" s="50"/>
      <c r="T625" s="50"/>
      <c r="U625" s="50"/>
      <c r="V625" s="50"/>
      <c r="W625" s="50"/>
      <c r="X625" s="50"/>
      <c r="Y625" s="50"/>
      <c r="Z625" s="50"/>
      <c r="AA625" s="50"/>
      <c r="AB625" s="50"/>
      <c r="AC625" s="50"/>
    </row>
    <row r="626">
      <c r="A626" s="48" t="s">
        <v>2648</v>
      </c>
      <c r="B626" s="49" t="s">
        <v>3527</v>
      </c>
      <c r="C626" s="48" t="s">
        <v>3528</v>
      </c>
      <c r="D626" s="50" t="str">
        <f>IFERROR(__xludf.DUMMYFUNCTION("""COMPUTED_VALUE"""),"Yehuda")</f>
        <v>Yehuda</v>
      </c>
      <c r="E626" s="50"/>
      <c r="F626" s="50"/>
      <c r="G626" s="50"/>
      <c r="H626" s="50" t="s">
        <v>1710</v>
      </c>
      <c r="I626" s="50"/>
      <c r="J626" s="50" t="s">
        <v>2880</v>
      </c>
      <c r="K626" s="50"/>
      <c r="L626" s="50"/>
      <c r="M626" s="50"/>
      <c r="N626" s="50"/>
      <c r="O626" s="50"/>
      <c r="P626" s="50"/>
      <c r="Q626" s="50"/>
      <c r="R626" s="50"/>
      <c r="S626" s="50"/>
      <c r="T626" s="50"/>
      <c r="U626" s="50"/>
      <c r="V626" s="50"/>
      <c r="W626" s="50"/>
      <c r="X626" s="50"/>
      <c r="Y626" s="50"/>
      <c r="Z626" s="50"/>
      <c r="AA626" s="50"/>
      <c r="AB626" s="50"/>
      <c r="AC626" s="50"/>
    </row>
    <row r="627">
      <c r="A627" s="48" t="s">
        <v>2648</v>
      </c>
      <c r="B627" s="49" t="s">
        <v>3529</v>
      </c>
      <c r="C627" s="48" t="s">
        <v>3530</v>
      </c>
      <c r="D627" s="50" t="str">
        <f>IFERROR(__xludf.DUMMYFUNCTION("""COMPUTED_VALUE"""),"Noël")</f>
        <v>Noël</v>
      </c>
      <c r="E627" s="50"/>
      <c r="F627" s="50"/>
      <c r="G627" s="50"/>
      <c r="H627" s="50" t="s">
        <v>1710</v>
      </c>
      <c r="I627" s="50"/>
      <c r="J627" s="50" t="s">
        <v>2880</v>
      </c>
      <c r="K627" s="50"/>
      <c r="L627" s="50"/>
      <c r="M627" s="50"/>
      <c r="N627" s="50"/>
      <c r="O627" s="50"/>
      <c r="P627" s="50"/>
      <c r="Q627" s="50"/>
      <c r="R627" s="50"/>
      <c r="S627" s="50"/>
      <c r="T627" s="50"/>
      <c r="U627" s="50"/>
      <c r="V627" s="50"/>
      <c r="W627" s="50"/>
      <c r="X627" s="50"/>
      <c r="Y627" s="50"/>
      <c r="Z627" s="50"/>
      <c r="AA627" s="50"/>
      <c r="AB627" s="50"/>
      <c r="AC627" s="50"/>
    </row>
    <row r="628">
      <c r="A628" s="48" t="s">
        <v>2648</v>
      </c>
      <c r="B628" s="49" t="s">
        <v>3531</v>
      </c>
      <c r="C628" s="48" t="s">
        <v>3532</v>
      </c>
      <c r="D628" s="50" t="str">
        <f>IFERROR(__xludf.DUMMYFUNCTION("""COMPUTED_VALUE"""),"Champagne")</f>
        <v>Champagne</v>
      </c>
      <c r="E628" s="50"/>
      <c r="F628" s="50"/>
      <c r="G628" s="50"/>
      <c r="H628" s="50" t="s">
        <v>1710</v>
      </c>
      <c r="I628" s="50"/>
      <c r="J628" s="50" t="s">
        <v>2880</v>
      </c>
      <c r="K628" s="50"/>
      <c r="L628" s="50"/>
      <c r="M628" s="50"/>
      <c r="N628" s="50"/>
      <c r="O628" s="50"/>
      <c r="P628" s="50"/>
      <c r="Q628" s="50"/>
      <c r="R628" s="50"/>
      <c r="S628" s="50"/>
      <c r="T628" s="50"/>
      <c r="U628" s="50"/>
      <c r="V628" s="50"/>
      <c r="W628" s="50"/>
      <c r="X628" s="50"/>
      <c r="Y628" s="50"/>
      <c r="Z628" s="50"/>
      <c r="AA628" s="50"/>
      <c r="AB628" s="50"/>
      <c r="AC628" s="50"/>
    </row>
    <row r="629">
      <c r="A629" s="48" t="s">
        <v>2648</v>
      </c>
      <c r="B629" s="49" t="s">
        <v>3533</v>
      </c>
      <c r="C629" s="48" t="s">
        <v>3534</v>
      </c>
      <c r="D629" s="50" t="str">
        <f>IFERROR(__xludf.DUMMYFUNCTION("""COMPUTED_VALUE"""),"Vista Blanc")</f>
        <v>Vista Blanc</v>
      </c>
      <c r="E629" s="50"/>
      <c r="F629" s="50"/>
      <c r="G629" s="50"/>
      <c r="H629" s="50" t="s">
        <v>1710</v>
      </c>
      <c r="I629" s="50"/>
      <c r="J629" s="50" t="s">
        <v>2880</v>
      </c>
      <c r="K629" s="50"/>
      <c r="L629" s="50"/>
      <c r="M629" s="50"/>
      <c r="N629" s="50"/>
      <c r="O629" s="50"/>
      <c r="P629" s="50"/>
      <c r="Q629" s="50"/>
      <c r="R629" s="50"/>
      <c r="S629" s="50"/>
      <c r="T629" s="50"/>
      <c r="U629" s="50"/>
      <c r="V629" s="50"/>
      <c r="W629" s="50"/>
      <c r="X629" s="50"/>
      <c r="Y629" s="50"/>
      <c r="Z629" s="50"/>
      <c r="AA629" s="50"/>
      <c r="AB629" s="50"/>
      <c r="AC629" s="50"/>
    </row>
    <row r="630">
      <c r="A630" s="48" t="s">
        <v>2648</v>
      </c>
      <c r="B630" s="49" t="s">
        <v>3535</v>
      </c>
      <c r="C630" s="48" t="s">
        <v>3536</v>
      </c>
      <c r="D630" s="50" t="str">
        <f>IFERROR(__xludf.DUMMYFUNCTION("""COMPUTED_VALUE"""),"Bradenton")</f>
        <v>Bradenton</v>
      </c>
      <c r="E630" s="50"/>
      <c r="F630" s="50"/>
      <c r="G630" s="50"/>
      <c r="H630" s="50" t="s">
        <v>1710</v>
      </c>
      <c r="I630" s="50"/>
      <c r="J630" s="50" t="s">
        <v>2880</v>
      </c>
      <c r="K630" s="50"/>
      <c r="L630" s="50"/>
      <c r="M630" s="50"/>
      <c r="N630" s="50"/>
      <c r="O630" s="50"/>
      <c r="P630" s="50"/>
      <c r="Q630" s="50"/>
      <c r="R630" s="50"/>
      <c r="S630" s="50"/>
      <c r="T630" s="50"/>
      <c r="U630" s="50"/>
      <c r="V630" s="50"/>
      <c r="W630" s="50"/>
      <c r="X630" s="50"/>
      <c r="Y630" s="50"/>
      <c r="Z630" s="50"/>
      <c r="AA630" s="50"/>
      <c r="AB630" s="50"/>
      <c r="AC630" s="50"/>
    </row>
    <row r="631">
      <c r="A631" s="48" t="s">
        <v>2648</v>
      </c>
      <c r="B631" s="49" t="s">
        <v>3537</v>
      </c>
      <c r="C631" s="48" t="s">
        <v>3538</v>
      </c>
      <c r="D631" s="50" t="str">
        <f>IFERROR(__xludf.DUMMYFUNCTION("""COMPUTED_VALUE"""),"Sherry")</f>
        <v>Sherry</v>
      </c>
      <c r="E631" s="50"/>
      <c r="F631" s="50"/>
      <c r="G631" s="50"/>
      <c r="H631" s="50" t="s">
        <v>1710</v>
      </c>
      <c r="I631" s="50"/>
      <c r="J631" s="50" t="s">
        <v>2880</v>
      </c>
      <c r="K631" s="50"/>
      <c r="L631" s="50"/>
      <c r="M631" s="50"/>
      <c r="N631" s="50"/>
      <c r="O631" s="50"/>
      <c r="P631" s="50"/>
      <c r="Q631" s="50"/>
      <c r="R631" s="50"/>
      <c r="S631" s="50"/>
      <c r="T631" s="50"/>
      <c r="U631" s="50"/>
      <c r="V631" s="50"/>
      <c r="W631" s="50"/>
      <c r="X631" s="50"/>
      <c r="Y631" s="50"/>
      <c r="Z631" s="50"/>
      <c r="AA631" s="50"/>
      <c r="AB631" s="50"/>
      <c r="AC631" s="50"/>
    </row>
    <row r="632">
      <c r="A632" s="48" t="s">
        <v>2648</v>
      </c>
      <c r="B632" s="49" t="s">
        <v>3539</v>
      </c>
      <c r="C632" s="48" t="s">
        <v>3540</v>
      </c>
      <c r="D632" s="50" t="str">
        <f>IFERROR(__xludf.DUMMYFUNCTION("""COMPUTED_VALUE"""),"Silas Woods")</f>
        <v>Silas Woods</v>
      </c>
      <c r="E632" s="50"/>
      <c r="F632" s="50"/>
      <c r="G632" s="50"/>
      <c r="H632" s="50" t="s">
        <v>1710</v>
      </c>
      <c r="I632" s="50"/>
      <c r="J632" s="50" t="s">
        <v>2974</v>
      </c>
      <c r="K632" s="50"/>
      <c r="L632" s="50"/>
      <c r="M632" s="50"/>
      <c r="N632" s="50"/>
      <c r="O632" s="50"/>
      <c r="P632" s="50"/>
      <c r="Q632" s="50"/>
      <c r="R632" s="50"/>
      <c r="S632" s="50"/>
      <c r="T632" s="50"/>
      <c r="U632" s="50"/>
      <c r="V632" s="50"/>
      <c r="W632" s="50"/>
      <c r="X632" s="50"/>
      <c r="Y632" s="50"/>
      <c r="Z632" s="50"/>
      <c r="AA632" s="50"/>
      <c r="AB632" s="50"/>
      <c r="AC632" s="50"/>
    </row>
    <row r="633">
      <c r="A633" s="48" t="s">
        <v>2648</v>
      </c>
      <c r="B633" s="49" t="s">
        <v>3541</v>
      </c>
      <c r="C633" s="48" t="s">
        <v>3542</v>
      </c>
      <c r="D633" s="50" t="str">
        <f>IFERROR(__xludf.DUMMYFUNCTION("""COMPUTED_VALUE"""),"Kampong")</f>
        <v>Kampong</v>
      </c>
      <c r="E633" s="50"/>
      <c r="F633" s="50"/>
      <c r="G633" s="50"/>
      <c r="H633" s="50" t="s">
        <v>1710</v>
      </c>
      <c r="I633" s="50"/>
      <c r="J633" s="50" t="s">
        <v>1191</v>
      </c>
      <c r="K633" s="50"/>
      <c r="L633" s="50"/>
      <c r="M633" s="50"/>
      <c r="N633" s="50"/>
      <c r="O633" s="50"/>
      <c r="P633" s="50"/>
      <c r="Q633" s="50"/>
      <c r="R633" s="50"/>
      <c r="S633" s="50"/>
      <c r="T633" s="50"/>
      <c r="U633" s="50"/>
      <c r="V633" s="50"/>
      <c r="W633" s="50"/>
      <c r="X633" s="50"/>
      <c r="Y633" s="50"/>
      <c r="Z633" s="50"/>
      <c r="AA633" s="50"/>
      <c r="AB633" s="50"/>
      <c r="AC633" s="50"/>
    </row>
    <row r="634">
      <c r="A634" s="48"/>
      <c r="B634" s="49"/>
      <c r="C634" s="48"/>
      <c r="D634" s="50" t="str">
        <f>IFERROR(__xludf.DUMMYFUNCTION("""COMPUTED_VALUE"""),"")</f>
        <v/>
      </c>
      <c r="E634" s="50"/>
      <c r="F634" s="50"/>
      <c r="G634" s="50"/>
      <c r="H634" s="50" t="s">
        <v>1710</v>
      </c>
      <c r="I634" s="50"/>
      <c r="J634" s="50"/>
      <c r="K634" s="50"/>
      <c r="L634" s="50"/>
      <c r="M634" s="50"/>
      <c r="N634" s="50"/>
      <c r="O634" s="50"/>
      <c r="P634" s="50"/>
      <c r="Q634" s="50"/>
      <c r="R634" s="50"/>
      <c r="S634" s="50"/>
      <c r="T634" s="50"/>
      <c r="U634" s="50"/>
      <c r="V634" s="50"/>
      <c r="W634" s="50"/>
      <c r="X634" s="50"/>
      <c r="Y634" s="50"/>
      <c r="Z634" s="50"/>
      <c r="AA634" s="50"/>
      <c r="AB634" s="50"/>
      <c r="AC634" s="50"/>
    </row>
    <row r="635">
      <c r="A635" s="48"/>
      <c r="B635" s="49"/>
      <c r="C635" s="48"/>
      <c r="D635" s="50" t="str">
        <f>IFERROR(__xludf.DUMMYFUNCTION("""COMPUTED_VALUE"""),"")</f>
        <v/>
      </c>
      <c r="E635" s="50"/>
      <c r="F635" s="50"/>
      <c r="G635" s="50"/>
      <c r="H635" s="50" t="s">
        <v>1710</v>
      </c>
      <c r="I635" s="50"/>
      <c r="J635" s="50"/>
      <c r="K635" s="50"/>
      <c r="L635" s="50"/>
      <c r="M635" s="50"/>
      <c r="N635" s="50"/>
      <c r="O635" s="50"/>
      <c r="P635" s="50"/>
      <c r="Q635" s="50"/>
      <c r="R635" s="50"/>
      <c r="S635" s="50"/>
      <c r="T635" s="50"/>
      <c r="U635" s="50"/>
      <c r="V635" s="50"/>
      <c r="W635" s="50"/>
      <c r="X635" s="50"/>
      <c r="Y635" s="50"/>
      <c r="Z635" s="50"/>
      <c r="AA635" s="50"/>
      <c r="AB635" s="50"/>
      <c r="AC635" s="50"/>
    </row>
    <row r="636">
      <c r="A636" s="48"/>
      <c r="B636" s="49"/>
      <c r="C636" s="48"/>
      <c r="D636" s="50" t="str">
        <f>IFERROR(__xludf.DUMMYFUNCTION("""COMPUTED_VALUE"""),"")</f>
        <v/>
      </c>
      <c r="E636" s="50"/>
      <c r="F636" s="50"/>
      <c r="G636" s="50"/>
      <c r="H636" s="50" t="s">
        <v>1710</v>
      </c>
      <c r="I636" s="50"/>
      <c r="J636" s="50"/>
      <c r="K636" s="50"/>
      <c r="L636" s="50"/>
      <c r="M636" s="50"/>
      <c r="N636" s="50"/>
      <c r="O636" s="50"/>
      <c r="P636" s="50"/>
      <c r="Q636" s="50"/>
      <c r="R636" s="50"/>
      <c r="S636" s="50"/>
      <c r="T636" s="50"/>
      <c r="U636" s="50"/>
      <c r="V636" s="50"/>
      <c r="W636" s="50"/>
      <c r="X636" s="50"/>
      <c r="Y636" s="50"/>
      <c r="Z636" s="50"/>
      <c r="AA636" s="50"/>
      <c r="AB636" s="50"/>
      <c r="AC636" s="50"/>
    </row>
    <row r="637">
      <c r="A637" s="48"/>
      <c r="B637" s="49"/>
      <c r="C637" s="48"/>
      <c r="D637" s="50" t="str">
        <f>IFERROR(__xludf.DUMMYFUNCTION("""COMPUTED_VALUE"""),"")</f>
        <v/>
      </c>
      <c r="E637" s="50"/>
      <c r="F637" s="50"/>
      <c r="G637" s="50"/>
      <c r="H637" s="50" t="s">
        <v>1710</v>
      </c>
      <c r="I637" s="50"/>
      <c r="J637" s="50"/>
      <c r="K637" s="50"/>
      <c r="L637" s="50"/>
      <c r="M637" s="50"/>
      <c r="N637" s="50"/>
      <c r="O637" s="50"/>
      <c r="P637" s="50"/>
      <c r="Q637" s="50"/>
      <c r="R637" s="50"/>
      <c r="S637" s="50"/>
      <c r="T637" s="50"/>
      <c r="U637" s="50"/>
      <c r="V637" s="50"/>
      <c r="W637" s="50"/>
      <c r="X637" s="50"/>
      <c r="Y637" s="50"/>
      <c r="Z637" s="50"/>
      <c r="AA637" s="50"/>
      <c r="AB637" s="50"/>
      <c r="AC637" s="50"/>
    </row>
    <row r="638">
      <c r="A638" s="48"/>
      <c r="B638" s="49"/>
      <c r="C638" s="48"/>
      <c r="D638" s="50" t="str">
        <f>IFERROR(__xludf.DUMMYFUNCTION("""COMPUTED_VALUE"""),"")</f>
        <v/>
      </c>
      <c r="E638" s="50"/>
      <c r="F638" s="50"/>
      <c r="G638" s="50"/>
      <c r="H638" s="50" t="s">
        <v>1710</v>
      </c>
      <c r="I638" s="50"/>
      <c r="J638" s="50"/>
      <c r="K638" s="50"/>
      <c r="L638" s="50"/>
      <c r="M638" s="50"/>
      <c r="N638" s="50"/>
      <c r="O638" s="50"/>
      <c r="P638" s="50"/>
      <c r="Q638" s="50"/>
      <c r="R638" s="50"/>
      <c r="S638" s="50"/>
      <c r="T638" s="50"/>
      <c r="U638" s="50"/>
      <c r="V638" s="50"/>
      <c r="W638" s="50"/>
      <c r="X638" s="50"/>
      <c r="Y638" s="50"/>
      <c r="Z638" s="50"/>
      <c r="AA638" s="50"/>
      <c r="AB638" s="50"/>
      <c r="AC638" s="50"/>
    </row>
    <row r="639">
      <c r="A639" s="48"/>
      <c r="B639" s="49"/>
      <c r="C639" s="48"/>
      <c r="D639" s="50" t="str">
        <f>IFERROR(__xludf.DUMMYFUNCTION("""COMPUTED_VALUE"""),"")</f>
        <v/>
      </c>
      <c r="E639" s="50"/>
      <c r="F639" s="50"/>
      <c r="G639" s="50"/>
      <c r="H639" s="50" t="s">
        <v>1710</v>
      </c>
      <c r="I639" s="50"/>
      <c r="J639" s="50"/>
      <c r="K639" s="50"/>
      <c r="L639" s="50"/>
      <c r="M639" s="50"/>
      <c r="N639" s="50"/>
      <c r="O639" s="50"/>
      <c r="P639" s="50"/>
      <c r="Q639" s="50"/>
      <c r="R639" s="50"/>
      <c r="S639" s="50"/>
      <c r="T639" s="50"/>
      <c r="U639" s="50"/>
      <c r="V639" s="50"/>
      <c r="W639" s="50"/>
      <c r="X639" s="50"/>
      <c r="Y639" s="50"/>
      <c r="Z639" s="50"/>
      <c r="AA639" s="50"/>
      <c r="AB639" s="50"/>
      <c r="AC639" s="50"/>
    </row>
    <row r="640">
      <c r="A640" s="48"/>
      <c r="B640" s="49"/>
      <c r="C640" s="48"/>
      <c r="D640" s="50" t="str">
        <f>IFERROR(__xludf.DUMMYFUNCTION("""COMPUTED_VALUE"""),"")</f>
        <v/>
      </c>
      <c r="E640" s="50"/>
      <c r="F640" s="50"/>
      <c r="G640" s="50"/>
      <c r="H640" s="50" t="s">
        <v>1710</v>
      </c>
      <c r="I640" s="50"/>
      <c r="J640" s="50"/>
      <c r="K640" s="50"/>
      <c r="L640" s="50"/>
      <c r="M640" s="50"/>
      <c r="N640" s="50"/>
      <c r="O640" s="50"/>
      <c r="P640" s="50"/>
      <c r="Q640" s="50"/>
      <c r="R640" s="50"/>
      <c r="S640" s="50"/>
      <c r="T640" s="50"/>
      <c r="U640" s="50"/>
      <c r="V640" s="50"/>
      <c r="W640" s="50"/>
      <c r="X640" s="50"/>
      <c r="Y640" s="50"/>
      <c r="Z640" s="50"/>
      <c r="AA640" s="50"/>
      <c r="AB640" s="50"/>
      <c r="AC640" s="50"/>
    </row>
    <row r="641">
      <c r="A641" s="48"/>
      <c r="B641" s="49"/>
      <c r="C641" s="48"/>
      <c r="D641" s="50" t="str">
        <f>IFERROR(__xludf.DUMMYFUNCTION("""COMPUTED_VALUE"""),"")</f>
        <v/>
      </c>
      <c r="E641" s="50"/>
      <c r="F641" s="50"/>
      <c r="G641" s="50"/>
      <c r="H641" s="50" t="s">
        <v>1710</v>
      </c>
      <c r="I641" s="50"/>
      <c r="J641" s="50"/>
      <c r="K641" s="50"/>
      <c r="L641" s="50"/>
      <c r="M641" s="50"/>
      <c r="N641" s="50"/>
      <c r="O641" s="50"/>
      <c r="P641" s="50"/>
      <c r="Q641" s="50"/>
      <c r="R641" s="50"/>
      <c r="S641" s="50"/>
      <c r="T641" s="50"/>
      <c r="U641" s="50"/>
      <c r="V641" s="50"/>
      <c r="W641" s="50"/>
      <c r="X641" s="50"/>
      <c r="Y641" s="50"/>
      <c r="Z641" s="50"/>
      <c r="AA641" s="50"/>
      <c r="AB641" s="50"/>
      <c r="AC641" s="50"/>
    </row>
    <row r="642">
      <c r="A642" s="48"/>
      <c r="B642" s="49"/>
      <c r="C642" s="48"/>
      <c r="D642" s="50" t="str">
        <f>IFERROR(__xludf.DUMMYFUNCTION("""COMPUTED_VALUE"""),"")</f>
        <v/>
      </c>
      <c r="E642" s="50"/>
      <c r="F642" s="50"/>
      <c r="G642" s="50"/>
      <c r="H642" s="50" t="s">
        <v>1710</v>
      </c>
      <c r="I642" s="50"/>
      <c r="J642" s="50"/>
      <c r="K642" s="50"/>
      <c r="L642" s="50"/>
      <c r="M642" s="50"/>
      <c r="N642" s="50"/>
      <c r="O642" s="50"/>
      <c r="P642" s="50"/>
      <c r="Q642" s="50"/>
      <c r="R642" s="50"/>
      <c r="S642" s="50"/>
      <c r="T642" s="50"/>
      <c r="U642" s="50"/>
      <c r="V642" s="50"/>
      <c r="W642" s="50"/>
      <c r="X642" s="50"/>
      <c r="Y642" s="50"/>
      <c r="Z642" s="50"/>
      <c r="AA642" s="50"/>
      <c r="AB642" s="50"/>
      <c r="AC642" s="50"/>
    </row>
    <row r="643">
      <c r="A643" s="48"/>
      <c r="B643" s="49"/>
      <c r="C643" s="48"/>
      <c r="D643" s="50" t="str">
        <f>IFERROR(__xludf.DUMMYFUNCTION("""COMPUTED_VALUE"""),"")</f>
        <v/>
      </c>
      <c r="E643" s="50"/>
      <c r="F643" s="50"/>
      <c r="G643" s="50"/>
      <c r="H643" s="50" t="s">
        <v>1710</v>
      </c>
      <c r="I643" s="50"/>
      <c r="J643" s="50"/>
      <c r="K643" s="50"/>
      <c r="L643" s="50"/>
      <c r="M643" s="50"/>
      <c r="N643" s="50"/>
      <c r="O643" s="50"/>
      <c r="P643" s="50"/>
      <c r="Q643" s="50"/>
      <c r="R643" s="50"/>
      <c r="S643" s="50"/>
      <c r="T643" s="50"/>
      <c r="U643" s="50"/>
      <c r="V643" s="50"/>
      <c r="W643" s="50"/>
      <c r="X643" s="50"/>
      <c r="Y643" s="50"/>
      <c r="Z643" s="50"/>
      <c r="AA643" s="50"/>
      <c r="AB643" s="50"/>
      <c r="AC643" s="50"/>
    </row>
    <row r="644">
      <c r="A644" s="48"/>
      <c r="B644" s="49"/>
      <c r="C644" s="48"/>
      <c r="D644" s="50" t="str">
        <f>IFERROR(__xludf.DUMMYFUNCTION("""COMPUTED_VALUE"""),"")</f>
        <v/>
      </c>
      <c r="E644" s="50"/>
      <c r="F644" s="50"/>
      <c r="G644" s="50"/>
      <c r="H644" s="50" t="s">
        <v>1710</v>
      </c>
      <c r="I644" s="50"/>
      <c r="J644" s="50"/>
      <c r="K644" s="50"/>
      <c r="L644" s="50"/>
      <c r="M644" s="50"/>
      <c r="N644" s="50"/>
      <c r="O644" s="50"/>
      <c r="P644" s="50"/>
      <c r="Q644" s="50"/>
      <c r="R644" s="50"/>
      <c r="S644" s="50"/>
      <c r="T644" s="50"/>
      <c r="U644" s="50"/>
      <c r="V644" s="50"/>
      <c r="W644" s="50"/>
      <c r="X644" s="50"/>
      <c r="Y644" s="50"/>
      <c r="Z644" s="50"/>
      <c r="AA644" s="50"/>
      <c r="AB644" s="50"/>
      <c r="AC644" s="50"/>
    </row>
    <row r="645">
      <c r="A645" s="48"/>
      <c r="B645" s="49"/>
      <c r="C645" s="48"/>
      <c r="D645" s="50" t="str">
        <f>IFERROR(__xludf.DUMMYFUNCTION("""COMPUTED_VALUE"""),"")</f>
        <v/>
      </c>
      <c r="E645" s="50"/>
      <c r="F645" s="50"/>
      <c r="G645" s="50"/>
      <c r="H645" s="50" t="s">
        <v>1710</v>
      </c>
      <c r="I645" s="50"/>
      <c r="J645" s="50"/>
      <c r="K645" s="50"/>
      <c r="L645" s="50"/>
      <c r="M645" s="50"/>
      <c r="N645" s="50"/>
      <c r="O645" s="50"/>
      <c r="P645" s="50"/>
      <c r="Q645" s="50"/>
      <c r="R645" s="50"/>
      <c r="S645" s="50"/>
      <c r="T645" s="50"/>
      <c r="U645" s="50"/>
      <c r="V645" s="50"/>
      <c r="W645" s="50"/>
      <c r="X645" s="50"/>
      <c r="Y645" s="50"/>
      <c r="Z645" s="50"/>
      <c r="AA645" s="50"/>
      <c r="AB645" s="50"/>
      <c r="AC645" s="50"/>
    </row>
    <row r="646">
      <c r="A646" s="48" t="s">
        <v>2648</v>
      </c>
      <c r="B646" s="49" t="s">
        <v>3543</v>
      </c>
      <c r="C646" s="48" t="s">
        <v>3544</v>
      </c>
      <c r="D646" s="50" t="str">
        <f>IFERROR(__xludf.DUMMYFUNCTION("""COMPUTED_VALUE"""),"Péruvien")</f>
        <v>Péruvien</v>
      </c>
      <c r="E646" s="50"/>
      <c r="F646" s="50" t="s">
        <v>3544</v>
      </c>
      <c r="G646" s="50" t="s">
        <v>3544</v>
      </c>
      <c r="H646" s="50" t="s">
        <v>1710</v>
      </c>
      <c r="I646" s="50"/>
      <c r="J646" s="50" t="s">
        <v>2679</v>
      </c>
      <c r="K646" s="50"/>
      <c r="L646" s="50"/>
      <c r="M646" s="50"/>
      <c r="N646" s="50"/>
      <c r="O646" s="50"/>
      <c r="P646" s="50"/>
      <c r="Q646" s="50"/>
      <c r="R646" s="50"/>
      <c r="S646" s="50"/>
      <c r="T646" s="50"/>
      <c r="U646" s="50"/>
      <c r="V646" s="50"/>
      <c r="W646" s="50"/>
      <c r="X646" s="50"/>
      <c r="Y646" s="50"/>
      <c r="Z646" s="50"/>
      <c r="AA646" s="50"/>
      <c r="AB646" s="50"/>
      <c r="AC646" s="50"/>
    </row>
    <row r="647">
      <c r="A647" s="48" t="s">
        <v>2648</v>
      </c>
      <c r="B647" s="49" t="s">
        <v>3545</v>
      </c>
      <c r="C647" s="48" t="s">
        <v>3546</v>
      </c>
      <c r="D647" s="50" t="str">
        <f>IFERROR(__xludf.DUMMYFUNCTION("""COMPUTED_VALUE"""),"Thaïlandais")</f>
        <v>Thaïlandais</v>
      </c>
      <c r="E647" s="50"/>
      <c r="F647" s="50" t="s">
        <v>3546</v>
      </c>
      <c r="G647" s="50" t="s">
        <v>3546</v>
      </c>
      <c r="H647" s="50" t="s">
        <v>1710</v>
      </c>
      <c r="I647" s="50"/>
      <c r="J647" s="50" t="s">
        <v>2679</v>
      </c>
      <c r="K647" s="50"/>
      <c r="L647" s="50"/>
      <c r="M647" s="50"/>
      <c r="N647" s="50"/>
      <c r="O647" s="50"/>
      <c r="P647" s="50"/>
      <c r="Q647" s="50"/>
      <c r="R647" s="50"/>
      <c r="S647" s="50"/>
      <c r="T647" s="50"/>
      <c r="U647" s="50"/>
      <c r="V647" s="50"/>
      <c r="W647" s="50"/>
      <c r="X647" s="50"/>
      <c r="Y647" s="50"/>
      <c r="Z647" s="50"/>
      <c r="AA647" s="50"/>
      <c r="AB647" s="50"/>
      <c r="AC647" s="50"/>
    </row>
    <row r="648">
      <c r="A648" s="48" t="s">
        <v>2648</v>
      </c>
      <c r="B648" s="49" t="s">
        <v>3547</v>
      </c>
      <c r="C648" s="48" t="s">
        <v>3548</v>
      </c>
      <c r="D648" s="50" t="str">
        <f>IFERROR(__xludf.DUMMYFUNCTION("""COMPUTED_VALUE"""),"Redlands")</f>
        <v>Redlands</v>
      </c>
      <c r="E648" s="50"/>
      <c r="F648" s="50" t="s">
        <v>3548</v>
      </c>
      <c r="G648" s="50" t="s">
        <v>3548</v>
      </c>
      <c r="H648" s="50" t="s">
        <v>1710</v>
      </c>
      <c r="I648" s="50"/>
      <c r="J648" s="50" t="s">
        <v>2784</v>
      </c>
      <c r="K648" s="50"/>
      <c r="L648" s="50"/>
      <c r="M648" s="50"/>
      <c r="N648" s="50"/>
      <c r="O648" s="50"/>
      <c r="P648" s="50"/>
      <c r="Q648" s="50"/>
      <c r="R648" s="50"/>
      <c r="S648" s="50"/>
      <c r="T648" s="50"/>
      <c r="U648" s="50"/>
      <c r="V648" s="50"/>
      <c r="W648" s="50"/>
      <c r="X648" s="50"/>
      <c r="Y648" s="50"/>
      <c r="Z648" s="50"/>
      <c r="AA648" s="50"/>
      <c r="AB648" s="50"/>
      <c r="AC648" s="50"/>
    </row>
    <row r="649">
      <c r="A649" s="48" t="s">
        <v>2648</v>
      </c>
      <c r="B649" s="49" t="s">
        <v>3549</v>
      </c>
      <c r="C649" s="48" t="s">
        <v>3550</v>
      </c>
      <c r="D649" s="50" t="str">
        <f>IFERROR(__xludf.DUMMYFUNCTION("""COMPUTED_VALUE"""),"Rythme")</f>
        <v>Rythme</v>
      </c>
      <c r="E649" s="50"/>
      <c r="F649" s="50" t="s">
        <v>3550</v>
      </c>
      <c r="G649" s="50" t="s">
        <v>3550</v>
      </c>
      <c r="H649" s="50" t="s">
        <v>1710</v>
      </c>
      <c r="I649" s="50"/>
      <c r="J649" s="50" t="s">
        <v>3087</v>
      </c>
      <c r="K649" s="50"/>
      <c r="L649" s="50"/>
      <c r="M649" s="50"/>
      <c r="N649" s="50"/>
      <c r="O649" s="50"/>
      <c r="P649" s="50"/>
      <c r="Q649" s="50"/>
      <c r="R649" s="50"/>
      <c r="S649" s="50"/>
      <c r="T649" s="50"/>
      <c r="U649" s="50"/>
      <c r="V649" s="50"/>
      <c r="W649" s="50"/>
      <c r="X649" s="50"/>
      <c r="Y649" s="50"/>
      <c r="Z649" s="50"/>
      <c r="AA649" s="50"/>
      <c r="AB649" s="50"/>
      <c r="AC649" s="50"/>
    </row>
    <row r="650">
      <c r="A650" s="48" t="s">
        <v>2648</v>
      </c>
      <c r="B650" s="49" t="s">
        <v>3551</v>
      </c>
      <c r="C650" s="48" t="s">
        <v>3177</v>
      </c>
      <c r="D650" s="50" t="str">
        <f>IFERROR(__xludf.DUMMYFUNCTION("""COMPUTED_VALUE"""),"Peintre")</f>
        <v>Peintre</v>
      </c>
      <c r="E650" s="50"/>
      <c r="F650" s="50" t="s">
        <v>3177</v>
      </c>
      <c r="G650" s="50" t="s">
        <v>3177</v>
      </c>
      <c r="H650" s="50" t="s">
        <v>1710</v>
      </c>
      <c r="I650" s="50"/>
      <c r="J650" s="50" t="s">
        <v>2672</v>
      </c>
      <c r="K650" s="50"/>
      <c r="L650" s="50"/>
      <c r="M650" s="50"/>
      <c r="N650" s="50"/>
      <c r="O650" s="50"/>
      <c r="P650" s="50"/>
      <c r="Q650" s="50"/>
      <c r="R650" s="50"/>
      <c r="S650" s="50"/>
      <c r="T650" s="50"/>
      <c r="U650" s="50"/>
      <c r="V650" s="50"/>
      <c r="W650" s="50"/>
      <c r="X650" s="50"/>
      <c r="Y650" s="50"/>
      <c r="Z650" s="50"/>
      <c r="AA650" s="50"/>
      <c r="AB650" s="50"/>
      <c r="AC650" s="50"/>
    </row>
    <row r="651">
      <c r="A651" s="48" t="s">
        <v>2648</v>
      </c>
      <c r="B651" s="49" t="s">
        <v>3552</v>
      </c>
      <c r="C651" s="48" t="s">
        <v>3553</v>
      </c>
      <c r="D651" s="50" t="str">
        <f>IFERROR(__xludf.DUMMYFUNCTION("""COMPUTED_VALUE"""),"Semis Rose")</f>
        <v>Semis Rose</v>
      </c>
      <c r="E651" s="50"/>
      <c r="F651" s="50" t="s">
        <v>3553</v>
      </c>
      <c r="G651" s="50" t="s">
        <v>3553</v>
      </c>
      <c r="H651" s="50" t="s">
        <v>1710</v>
      </c>
      <c r="I651" s="50"/>
      <c r="J651" s="50" t="s">
        <v>2686</v>
      </c>
      <c r="K651" s="50"/>
      <c r="L651" s="50"/>
      <c r="M651" s="50"/>
      <c r="N651" s="50"/>
      <c r="O651" s="50"/>
      <c r="P651" s="50"/>
      <c r="Q651" s="50"/>
      <c r="R651" s="50"/>
      <c r="S651" s="50"/>
      <c r="T651" s="50"/>
      <c r="U651" s="50"/>
      <c r="V651" s="50"/>
      <c r="W651" s="50"/>
      <c r="X651" s="50"/>
      <c r="Y651" s="50"/>
      <c r="Z651" s="50"/>
      <c r="AA651" s="50"/>
      <c r="AB651" s="50"/>
      <c r="AC651" s="50"/>
    </row>
    <row r="652">
      <c r="A652" s="48" t="s">
        <v>2648</v>
      </c>
      <c r="B652" s="49" t="s">
        <v>3554</v>
      </c>
      <c r="C652" s="48" t="s">
        <v>3361</v>
      </c>
      <c r="D652" s="50" t="str">
        <f>IFERROR(__xludf.DUMMYFUNCTION("""COMPUTED_VALUE"""),"Varigué")</f>
        <v>Varigué</v>
      </c>
      <c r="E652" s="50"/>
      <c r="F652" s="50" t="s">
        <v>3361</v>
      </c>
      <c r="G652" s="50" t="s">
        <v>3361</v>
      </c>
      <c r="H652" s="50" t="s">
        <v>1710</v>
      </c>
      <c r="I652" s="50"/>
      <c r="J652" s="50" t="s">
        <v>3090</v>
      </c>
      <c r="K652" s="50"/>
      <c r="L652" s="50"/>
      <c r="M652" s="50"/>
      <c r="N652" s="50"/>
      <c r="O652" s="50"/>
      <c r="P652" s="50"/>
      <c r="Q652" s="50"/>
      <c r="R652" s="50"/>
      <c r="S652" s="50"/>
      <c r="T652" s="50"/>
      <c r="U652" s="50"/>
      <c r="V652" s="50"/>
      <c r="W652" s="50"/>
      <c r="X652" s="50"/>
      <c r="Y652" s="50"/>
      <c r="Z652" s="50"/>
      <c r="AA652" s="50"/>
      <c r="AB652" s="50"/>
      <c r="AC652" s="50"/>
    </row>
    <row r="653">
      <c r="A653" s="48" t="s">
        <v>2648</v>
      </c>
      <c r="B653" s="49" t="s">
        <v>3555</v>
      </c>
      <c r="C653" s="48" t="s">
        <v>3556</v>
      </c>
      <c r="D653" s="50" t="str">
        <f>IFERROR(__xludf.DUMMYFUNCTION("""COMPUTED_VALUE"""),"Caramel Au Beurre")</f>
        <v>Caramel Au Beurre</v>
      </c>
      <c r="E653" s="50"/>
      <c r="F653" s="50" t="s">
        <v>3556</v>
      </c>
      <c r="G653" s="50" t="s">
        <v>3556</v>
      </c>
      <c r="H653" s="50" t="s">
        <v>1710</v>
      </c>
      <c r="I653" s="50"/>
      <c r="J653" s="50" t="s">
        <v>2974</v>
      </c>
      <c r="K653" s="50"/>
      <c r="L653" s="50"/>
      <c r="M653" s="50"/>
      <c r="N653" s="50"/>
      <c r="O653" s="50"/>
      <c r="P653" s="50"/>
      <c r="Q653" s="50"/>
      <c r="R653" s="50"/>
      <c r="S653" s="50"/>
      <c r="T653" s="50"/>
      <c r="U653" s="50"/>
      <c r="V653" s="50"/>
      <c r="W653" s="50"/>
      <c r="X653" s="50"/>
      <c r="Y653" s="50"/>
      <c r="Z653" s="50"/>
      <c r="AA653" s="50"/>
      <c r="AB653" s="50"/>
      <c r="AC653" s="50"/>
    </row>
    <row r="654">
      <c r="A654" s="48"/>
      <c r="B654" s="49"/>
      <c r="C654" s="48"/>
      <c r="D654" s="50" t="str">
        <f>IFERROR(__xludf.DUMMYFUNCTION("""COMPUTED_VALUE"""),"")</f>
        <v/>
      </c>
      <c r="E654" s="50"/>
      <c r="F654" s="50"/>
      <c r="G654" s="50"/>
      <c r="H654" s="50" t="s">
        <v>1710</v>
      </c>
      <c r="I654" s="50"/>
      <c r="J654" s="50"/>
      <c r="K654" s="50"/>
      <c r="L654" s="50"/>
      <c r="M654" s="50"/>
      <c r="N654" s="50"/>
      <c r="O654" s="50"/>
      <c r="P654" s="50"/>
      <c r="Q654" s="50"/>
      <c r="R654" s="50"/>
      <c r="S654" s="50"/>
      <c r="T654" s="50"/>
      <c r="U654" s="50"/>
      <c r="V654" s="50"/>
      <c r="W654" s="50"/>
      <c r="X654" s="50"/>
      <c r="Y654" s="50"/>
      <c r="Z654" s="50"/>
      <c r="AA654" s="50"/>
      <c r="AB654" s="50"/>
      <c r="AC654" s="50"/>
    </row>
    <row r="655">
      <c r="A655" s="48" t="s">
        <v>2648</v>
      </c>
      <c r="B655" s="49" t="s">
        <v>3557</v>
      </c>
      <c r="C655" s="48" t="s">
        <v>3558</v>
      </c>
      <c r="D655" s="50" t="str">
        <f>IFERROR(__xludf.DUMMYFUNCTION("""COMPUTED_VALUE"""),"Le Rose De Chris")</f>
        <v>Le Rose De Chris</v>
      </c>
      <c r="E655" s="50"/>
      <c r="F655" s="50" t="s">
        <v>3558</v>
      </c>
      <c r="G655" s="50" t="s">
        <v>3558</v>
      </c>
      <c r="H655" s="50" t="s">
        <v>1710</v>
      </c>
      <c r="I655" s="50"/>
      <c r="J655" s="50" t="s">
        <v>3090</v>
      </c>
      <c r="K655" s="50"/>
      <c r="L655" s="50"/>
      <c r="M655" s="50"/>
      <c r="N655" s="50"/>
      <c r="O655" s="50"/>
      <c r="P655" s="50"/>
      <c r="Q655" s="50"/>
      <c r="R655" s="50"/>
      <c r="S655" s="50"/>
      <c r="T655" s="50"/>
      <c r="U655" s="50"/>
      <c r="V655" s="50"/>
      <c r="W655" s="50"/>
      <c r="X655" s="50"/>
      <c r="Y655" s="50"/>
      <c r="Z655" s="50"/>
      <c r="AA655" s="50"/>
      <c r="AB655" s="50"/>
      <c r="AC655" s="50"/>
    </row>
    <row r="656">
      <c r="A656" s="48" t="s">
        <v>2648</v>
      </c>
      <c r="B656" s="49" t="s">
        <v>3559</v>
      </c>
      <c r="C656" s="48" t="s">
        <v>3449</v>
      </c>
      <c r="D656" s="50" t="str">
        <f>IFERROR(__xludf.DUMMYFUNCTION("""COMPUTED_VALUE"""),"Rouge")</f>
        <v>Rouge</v>
      </c>
      <c r="E656" s="50"/>
      <c r="F656" s="50" t="s">
        <v>3449</v>
      </c>
      <c r="G656" s="50" t="s">
        <v>3449</v>
      </c>
      <c r="H656" s="50" t="s">
        <v>1710</v>
      </c>
      <c r="I656" s="50"/>
      <c r="J656" s="50" t="s">
        <v>3067</v>
      </c>
      <c r="K656" s="50"/>
      <c r="L656" s="50"/>
      <c r="M656" s="50"/>
      <c r="N656" s="50"/>
      <c r="O656" s="50"/>
      <c r="P656" s="50"/>
      <c r="Q656" s="50"/>
      <c r="R656" s="50"/>
      <c r="S656" s="50"/>
      <c r="T656" s="50"/>
      <c r="U656" s="50"/>
      <c r="V656" s="50"/>
      <c r="W656" s="50"/>
      <c r="X656" s="50"/>
      <c r="Y656" s="50"/>
      <c r="Z656" s="50"/>
      <c r="AA656" s="50"/>
      <c r="AB656" s="50"/>
      <c r="AC656" s="50"/>
    </row>
    <row r="657">
      <c r="A657" s="48"/>
      <c r="B657" s="49"/>
      <c r="C657" s="48"/>
      <c r="D657" s="50" t="str">
        <f>IFERROR(__xludf.DUMMYFUNCTION("""COMPUTED_VALUE"""),"")</f>
        <v/>
      </c>
      <c r="E657" s="50"/>
      <c r="F657" s="50"/>
      <c r="G657" s="50"/>
      <c r="H657" s="50" t="s">
        <v>1710</v>
      </c>
      <c r="I657" s="50"/>
      <c r="J657" s="50"/>
      <c r="K657" s="50"/>
      <c r="L657" s="50"/>
      <c r="M657" s="50"/>
      <c r="N657" s="50"/>
      <c r="O657" s="50"/>
      <c r="P657" s="50"/>
      <c r="Q657" s="50"/>
      <c r="R657" s="50"/>
      <c r="S657" s="50"/>
      <c r="T657" s="50"/>
      <c r="U657" s="50"/>
      <c r="V657" s="50"/>
      <c r="W657" s="50"/>
      <c r="X657" s="50"/>
      <c r="Y657" s="50"/>
      <c r="Z657" s="50"/>
      <c r="AA657" s="50"/>
      <c r="AB657" s="50"/>
      <c r="AC657" s="50"/>
    </row>
    <row r="658">
      <c r="A658" s="48"/>
      <c r="B658" s="49"/>
      <c r="C658" s="48"/>
      <c r="D658" s="50" t="str">
        <f>IFERROR(__xludf.DUMMYFUNCTION("""COMPUTED_VALUE"""),"")</f>
        <v/>
      </c>
      <c r="E658" s="50"/>
      <c r="F658" s="50"/>
      <c r="G658" s="50"/>
      <c r="H658" s="50" t="s">
        <v>1710</v>
      </c>
      <c r="I658" s="50"/>
      <c r="J658" s="50"/>
      <c r="K658" s="50"/>
      <c r="L658" s="50"/>
      <c r="M658" s="50"/>
      <c r="N658" s="50"/>
      <c r="O658" s="50"/>
      <c r="P658" s="50"/>
      <c r="Q658" s="50"/>
      <c r="R658" s="50"/>
      <c r="S658" s="50"/>
      <c r="T658" s="50"/>
      <c r="U658" s="50"/>
      <c r="V658" s="50"/>
      <c r="W658" s="50"/>
      <c r="X658" s="50"/>
      <c r="Y658" s="50"/>
      <c r="Z658" s="50"/>
      <c r="AA658" s="50"/>
      <c r="AB658" s="50"/>
      <c r="AC658" s="50"/>
    </row>
    <row r="659">
      <c r="A659" s="48"/>
      <c r="B659" s="49"/>
      <c r="C659" s="48"/>
      <c r="D659" s="50" t="str">
        <f>IFERROR(__xludf.DUMMYFUNCTION("""COMPUTED_VALUE"""),"")</f>
        <v/>
      </c>
      <c r="E659" s="50"/>
      <c r="F659" s="50"/>
      <c r="G659" s="50"/>
      <c r="H659" s="50" t="s">
        <v>1710</v>
      </c>
      <c r="I659" s="50"/>
      <c r="J659" s="50"/>
      <c r="K659" s="50"/>
      <c r="L659" s="50"/>
      <c r="M659" s="50"/>
      <c r="N659" s="50"/>
      <c r="O659" s="50"/>
      <c r="P659" s="50"/>
      <c r="Q659" s="50"/>
      <c r="R659" s="50"/>
      <c r="S659" s="50"/>
      <c r="T659" s="50"/>
      <c r="U659" s="50"/>
      <c r="V659" s="50"/>
      <c r="W659" s="50"/>
      <c r="X659" s="50"/>
      <c r="Y659" s="50"/>
      <c r="Z659" s="50"/>
      <c r="AA659" s="50"/>
      <c r="AB659" s="50"/>
      <c r="AC659" s="50"/>
    </row>
    <row r="660">
      <c r="A660" s="48" t="s">
        <v>2648</v>
      </c>
      <c r="B660" s="49" t="s">
        <v>3560</v>
      </c>
      <c r="C660" s="48" t="s">
        <v>3561</v>
      </c>
      <c r="D660" s="50" t="str">
        <f>IFERROR(__xludf.DUMMYFUNCTION("""COMPUTED_VALUE"""),"Petit Papi")</f>
        <v>Petit Papi</v>
      </c>
      <c r="E660" s="50"/>
      <c r="F660" s="50" t="s">
        <v>3561</v>
      </c>
      <c r="G660" s="50" t="s">
        <v>3561</v>
      </c>
      <c r="H660" s="50" t="s">
        <v>1710</v>
      </c>
      <c r="I660" s="50"/>
      <c r="J660" s="50" t="s">
        <v>2709</v>
      </c>
      <c r="K660" s="50"/>
      <c r="L660" s="50"/>
      <c r="M660" s="50"/>
      <c r="N660" s="50"/>
      <c r="O660" s="50"/>
      <c r="P660" s="50"/>
      <c r="Q660" s="50"/>
      <c r="R660" s="50"/>
      <c r="S660" s="50"/>
      <c r="T660" s="50"/>
      <c r="U660" s="50"/>
      <c r="V660" s="50"/>
      <c r="W660" s="50"/>
      <c r="X660" s="50"/>
      <c r="Y660" s="50"/>
      <c r="Z660" s="50"/>
      <c r="AA660" s="50"/>
      <c r="AB660" s="50"/>
      <c r="AC660" s="50"/>
    </row>
    <row r="661">
      <c r="A661" s="48" t="s">
        <v>2648</v>
      </c>
      <c r="B661" s="49" t="s">
        <v>3562</v>
      </c>
      <c r="C661" s="48" t="s">
        <v>3563</v>
      </c>
      <c r="D661" s="50" t="str">
        <f>IFERROR(__xludf.DUMMYFUNCTION("""COMPUTED_VALUE"""),"Semis Mou Du Monde De Xains")</f>
        <v>Semis Mou Du Monde De Xains</v>
      </c>
      <c r="E661" s="50"/>
      <c r="F661" s="50" t="s">
        <v>3563</v>
      </c>
      <c r="G661" s="50" t="s">
        <v>3563</v>
      </c>
      <c r="H661" s="50" t="s">
        <v>1710</v>
      </c>
      <c r="I661" s="50"/>
      <c r="J661" s="50" t="s">
        <v>2709</v>
      </c>
      <c r="K661" s="50"/>
      <c r="L661" s="50"/>
      <c r="M661" s="50"/>
      <c r="N661" s="50"/>
      <c r="O661" s="50"/>
      <c r="P661" s="50"/>
      <c r="Q661" s="50"/>
      <c r="R661" s="50"/>
      <c r="S661" s="50"/>
      <c r="T661" s="50"/>
      <c r="U661" s="50"/>
      <c r="V661" s="50"/>
      <c r="W661" s="50"/>
      <c r="X661" s="50"/>
      <c r="Y661" s="50"/>
      <c r="Z661" s="50"/>
      <c r="AA661" s="50"/>
      <c r="AB661" s="50"/>
      <c r="AC661" s="50"/>
    </row>
    <row r="662">
      <c r="A662" s="48" t="s">
        <v>2648</v>
      </c>
      <c r="B662" s="49" t="s">
        <v>3564</v>
      </c>
      <c r="C662" s="48" t="s">
        <v>3565</v>
      </c>
      <c r="D662" s="50" t="str">
        <f>IFERROR(__xludf.DUMMYFUNCTION("""COMPUTED_VALUE"""),"Géant Thaïlandais")</f>
        <v>Géant Thaïlandais</v>
      </c>
      <c r="E662" s="50"/>
      <c r="F662" s="50" t="s">
        <v>3565</v>
      </c>
      <c r="G662" s="50" t="s">
        <v>3565</v>
      </c>
      <c r="H662" s="50" t="s">
        <v>1710</v>
      </c>
      <c r="I662" s="50"/>
      <c r="J662" s="50" t="s">
        <v>3161</v>
      </c>
      <c r="K662" s="50"/>
      <c r="L662" s="50"/>
      <c r="M662" s="50"/>
      <c r="N662" s="50"/>
      <c r="O662" s="50"/>
      <c r="P662" s="50"/>
      <c r="Q662" s="50"/>
      <c r="R662" s="50"/>
      <c r="S662" s="50"/>
      <c r="T662" s="50"/>
      <c r="U662" s="50"/>
      <c r="V662" s="50"/>
      <c r="W662" s="50"/>
      <c r="X662" s="50"/>
      <c r="Y662" s="50"/>
      <c r="Z662" s="50"/>
      <c r="AA662" s="50"/>
      <c r="AB662" s="50"/>
      <c r="AC662" s="50"/>
    </row>
    <row r="663">
      <c r="A663" s="48" t="s">
        <v>2648</v>
      </c>
      <c r="B663" s="49" t="s">
        <v>3566</v>
      </c>
      <c r="C663" s="48" t="s">
        <v>3567</v>
      </c>
      <c r="D663" s="50" t="str">
        <f>IFERROR(__xludf.DUMMYFUNCTION("""COMPUTED_VALUE"""),"Biew Kiew")</f>
        <v>Biew Kiew</v>
      </c>
      <c r="E663" s="50"/>
      <c r="F663" s="50" t="s">
        <v>3567</v>
      </c>
      <c r="G663" s="50" t="s">
        <v>3567</v>
      </c>
      <c r="H663" s="50" t="s">
        <v>1710</v>
      </c>
      <c r="I663" s="50"/>
      <c r="J663" s="50" t="s">
        <v>2857</v>
      </c>
      <c r="K663" s="50"/>
      <c r="L663" s="50"/>
      <c r="M663" s="50"/>
      <c r="N663" s="50"/>
      <c r="O663" s="50"/>
      <c r="P663" s="50"/>
      <c r="Q663" s="50"/>
      <c r="R663" s="50"/>
      <c r="S663" s="50"/>
      <c r="T663" s="50"/>
      <c r="U663" s="50"/>
      <c r="V663" s="50"/>
      <c r="W663" s="50"/>
      <c r="X663" s="50"/>
      <c r="Y663" s="50"/>
      <c r="Z663" s="50"/>
      <c r="AA663" s="50"/>
      <c r="AB663" s="50"/>
      <c r="AC663" s="50"/>
    </row>
    <row r="664">
      <c r="A664" s="48" t="s">
        <v>2648</v>
      </c>
      <c r="B664" s="49" t="s">
        <v>3568</v>
      </c>
      <c r="C664" s="48" t="s">
        <v>3548</v>
      </c>
      <c r="D664" s="50" t="str">
        <f>IFERROR(__xludf.DUMMYFUNCTION("""COMPUTED_VALUE"""),"Redlands")</f>
        <v>Redlands</v>
      </c>
      <c r="E664" s="50"/>
      <c r="F664" s="50" t="s">
        <v>3548</v>
      </c>
      <c r="G664" s="50" t="s">
        <v>3548</v>
      </c>
      <c r="H664" s="50" t="s">
        <v>1710</v>
      </c>
      <c r="I664" s="50"/>
      <c r="J664" s="50" t="s">
        <v>3569</v>
      </c>
      <c r="K664" s="50"/>
      <c r="L664" s="50"/>
      <c r="M664" s="50"/>
      <c r="N664" s="50"/>
      <c r="O664" s="50"/>
      <c r="P664" s="50"/>
      <c r="Q664" s="50"/>
      <c r="R664" s="50"/>
      <c r="S664" s="50"/>
      <c r="T664" s="50"/>
      <c r="U664" s="50"/>
      <c r="V664" s="50"/>
      <c r="W664" s="50"/>
      <c r="X664" s="50"/>
      <c r="Y664" s="50"/>
      <c r="Z664" s="50"/>
      <c r="AA664" s="50"/>
      <c r="AB664" s="50"/>
      <c r="AC664" s="50"/>
    </row>
    <row r="665">
      <c r="A665" s="48" t="s">
        <v>2648</v>
      </c>
      <c r="B665" s="49" t="s">
        <v>3570</v>
      </c>
      <c r="C665" s="48" t="s">
        <v>3571</v>
      </c>
      <c r="D665" s="50" t="str">
        <f>IFERROR(__xludf.DUMMYFUNCTION("""COMPUTED_VALUE"""),"Kiew Yao")</f>
        <v>Kiew Yao</v>
      </c>
      <c r="E665" s="50"/>
      <c r="F665" s="50" t="s">
        <v>3571</v>
      </c>
      <c r="G665" s="50" t="s">
        <v>3571</v>
      </c>
      <c r="H665" s="50" t="s">
        <v>1710</v>
      </c>
      <c r="I665" s="50"/>
      <c r="J665" s="50" t="s">
        <v>2970</v>
      </c>
      <c r="K665" s="50"/>
      <c r="L665" s="50"/>
      <c r="M665" s="50"/>
      <c r="N665" s="50"/>
      <c r="O665" s="50"/>
      <c r="P665" s="50"/>
      <c r="Q665" s="50"/>
      <c r="R665" s="50"/>
      <c r="S665" s="50"/>
      <c r="T665" s="50"/>
      <c r="U665" s="50"/>
      <c r="V665" s="50"/>
      <c r="W665" s="50"/>
      <c r="X665" s="50"/>
      <c r="Y665" s="50"/>
      <c r="Z665" s="50"/>
      <c r="AA665" s="50"/>
      <c r="AB665" s="50"/>
      <c r="AC665" s="50"/>
    </row>
    <row r="666">
      <c r="A666" s="48" t="s">
        <v>2648</v>
      </c>
      <c r="B666" s="49" t="s">
        <v>3572</v>
      </c>
      <c r="C666" s="48" t="s">
        <v>3573</v>
      </c>
      <c r="D666" s="50" t="str">
        <f>IFERROR(__xludf.DUMMYFUNCTION("""COMPUTED_VALUE"""),"Greffé Du Sud De Miami")</f>
        <v>Greffé Du Sud De Miami</v>
      </c>
      <c r="E666" s="50"/>
      <c r="F666" s="50" t="s">
        <v>3573</v>
      </c>
      <c r="G666" s="50" t="s">
        <v>3573</v>
      </c>
      <c r="H666" s="50" t="s">
        <v>1710</v>
      </c>
      <c r="I666" s="50"/>
      <c r="J666" s="50" t="s">
        <v>2675</v>
      </c>
      <c r="K666" s="50"/>
      <c r="L666" s="50"/>
      <c r="M666" s="50"/>
      <c r="N666" s="50"/>
      <c r="O666" s="50"/>
      <c r="P666" s="50"/>
      <c r="Q666" s="50"/>
      <c r="R666" s="50"/>
      <c r="S666" s="50"/>
      <c r="T666" s="50"/>
      <c r="U666" s="50"/>
      <c r="V666" s="50"/>
      <c r="W666" s="50"/>
      <c r="X666" s="50"/>
      <c r="Y666" s="50"/>
      <c r="Z666" s="50"/>
      <c r="AA666" s="50"/>
      <c r="AB666" s="50"/>
      <c r="AC666" s="50"/>
    </row>
    <row r="667">
      <c r="A667" s="48" t="s">
        <v>2648</v>
      </c>
      <c r="B667" s="49" t="s">
        <v>3574</v>
      </c>
      <c r="C667" s="48" t="s">
        <v>3575</v>
      </c>
      <c r="D667" s="50" t="str">
        <f>IFERROR(__xludf.DUMMYFUNCTION("""COMPUTED_VALUE"""),"Homestead Prolifique")</f>
        <v>Homestead Prolifique</v>
      </c>
      <c r="E667" s="50"/>
      <c r="F667" s="50" t="s">
        <v>3575</v>
      </c>
      <c r="G667" s="50" t="s">
        <v>3575</v>
      </c>
      <c r="H667" s="50" t="s">
        <v>1710</v>
      </c>
      <c r="I667" s="50"/>
      <c r="J667" s="50" t="s">
        <v>2679</v>
      </c>
      <c r="K667" s="50"/>
      <c r="L667" s="50"/>
      <c r="M667" s="50"/>
      <c r="N667" s="50"/>
      <c r="O667" s="50"/>
      <c r="P667" s="50"/>
      <c r="Q667" s="50"/>
      <c r="R667" s="50"/>
      <c r="S667" s="50"/>
      <c r="T667" s="50"/>
      <c r="U667" s="50"/>
      <c r="V667" s="50"/>
      <c r="W667" s="50"/>
      <c r="X667" s="50"/>
      <c r="Y667" s="50"/>
      <c r="Z667" s="50"/>
      <c r="AA667" s="50"/>
      <c r="AB667" s="50"/>
      <c r="AC667" s="50"/>
    </row>
    <row r="668">
      <c r="A668" s="48" t="s">
        <v>2648</v>
      </c>
      <c r="B668" s="49" t="s">
        <v>3576</v>
      </c>
      <c r="C668" s="48" t="s">
        <v>3577</v>
      </c>
      <c r="D668" s="50" t="str">
        <f>IFERROR(__xludf.DUMMYFUNCTION("""COMPUTED_VALUE"""),"Miami")</f>
        <v>Miami</v>
      </c>
      <c r="E668" s="50"/>
      <c r="F668" s="50" t="s">
        <v>3577</v>
      </c>
      <c r="G668" s="50" t="s">
        <v>3577</v>
      </c>
      <c r="H668" s="50" t="s">
        <v>1710</v>
      </c>
      <c r="I668" s="50"/>
      <c r="J668" s="50" t="s">
        <v>2679</v>
      </c>
      <c r="K668" s="50"/>
      <c r="L668" s="50"/>
      <c r="M668" s="50"/>
      <c r="N668" s="50"/>
      <c r="O668" s="50"/>
      <c r="P668" s="50"/>
      <c r="Q668" s="50"/>
      <c r="R668" s="50"/>
      <c r="S668" s="50"/>
      <c r="T668" s="50"/>
      <c r="U668" s="50"/>
      <c r="V668" s="50"/>
      <c r="W668" s="50"/>
      <c r="X668" s="50"/>
      <c r="Y668" s="50"/>
      <c r="Z668" s="50"/>
      <c r="AA668" s="50"/>
      <c r="AB668" s="50"/>
      <c r="AC668" s="50"/>
    </row>
    <row r="669">
      <c r="A669" s="48" t="s">
        <v>2648</v>
      </c>
      <c r="B669" s="49" t="s">
        <v>3578</v>
      </c>
      <c r="C669" s="48" t="s">
        <v>3579</v>
      </c>
      <c r="D669" s="50" t="str">
        <f>IFERROR(__xludf.DUMMYFUNCTION("""COMPUTED_VALUE"""),"Hippolyte")</f>
        <v>Hippolyte</v>
      </c>
      <c r="E669" s="50"/>
      <c r="F669" s="50" t="s">
        <v>3579</v>
      </c>
      <c r="G669" s="50" t="s">
        <v>3579</v>
      </c>
      <c r="H669" s="50" t="s">
        <v>1710</v>
      </c>
      <c r="I669" s="50"/>
      <c r="J669" s="50" t="s">
        <v>3077</v>
      </c>
      <c r="K669" s="50"/>
      <c r="L669" s="50"/>
      <c r="M669" s="50"/>
      <c r="N669" s="50"/>
      <c r="O669" s="50"/>
      <c r="P669" s="50"/>
      <c r="Q669" s="50"/>
      <c r="R669" s="50"/>
      <c r="S669" s="50"/>
      <c r="T669" s="50"/>
      <c r="U669" s="50"/>
      <c r="V669" s="50"/>
      <c r="W669" s="50"/>
      <c r="X669" s="50"/>
      <c r="Y669" s="50"/>
      <c r="Z669" s="50"/>
      <c r="AA669" s="50"/>
      <c r="AB669" s="50"/>
      <c r="AC669" s="50"/>
    </row>
    <row r="670">
      <c r="A670" s="48"/>
      <c r="B670" s="49"/>
      <c r="C670" s="48"/>
      <c r="D670" s="50" t="str">
        <f>IFERROR(__xludf.DUMMYFUNCTION("""COMPUTED_VALUE"""),"")</f>
        <v/>
      </c>
      <c r="E670" s="50"/>
      <c r="F670" s="50"/>
      <c r="G670" s="50"/>
      <c r="H670" s="50" t="s">
        <v>1710</v>
      </c>
      <c r="I670" s="50"/>
      <c r="J670" s="50"/>
      <c r="K670" s="50"/>
      <c r="L670" s="50"/>
      <c r="M670" s="50"/>
      <c r="N670" s="50"/>
      <c r="O670" s="50"/>
      <c r="P670" s="50"/>
      <c r="Q670" s="50"/>
      <c r="R670" s="50"/>
      <c r="S670" s="50"/>
      <c r="T670" s="50"/>
      <c r="U670" s="50"/>
      <c r="V670" s="50"/>
      <c r="W670" s="50"/>
      <c r="X670" s="50"/>
      <c r="Y670" s="50"/>
      <c r="Z670" s="50"/>
      <c r="AA670" s="50"/>
      <c r="AB670" s="50"/>
      <c r="AC670" s="50"/>
    </row>
    <row r="671">
      <c r="A671" s="48"/>
      <c r="B671" s="49" t="s">
        <v>3580</v>
      </c>
      <c r="C671" s="48" t="s">
        <v>3581</v>
      </c>
      <c r="D671" s="50" t="str">
        <f>IFERROR(__xludf.DUMMYFUNCTION("""COMPUTED_VALUE"""),"Cerisier Du Brésil")</f>
        <v>Cerisier Du Brésil</v>
      </c>
      <c r="E671" s="50"/>
      <c r="F671" s="50">
        <v>0.0</v>
      </c>
      <c r="G671" s="50">
        <v>0.0</v>
      </c>
      <c r="H671" s="50" t="s">
        <v>1710</v>
      </c>
      <c r="I671" s="50"/>
      <c r="J671" s="50" t="s">
        <v>2884</v>
      </c>
      <c r="K671" s="50" t="s">
        <v>3582</v>
      </c>
      <c r="L671" s="50"/>
      <c r="M671" s="50"/>
      <c r="N671" s="50"/>
      <c r="O671" s="50"/>
      <c r="P671" s="50"/>
      <c r="Q671" s="50"/>
      <c r="R671" s="50"/>
      <c r="S671" s="50"/>
      <c r="T671" s="50"/>
      <c r="U671" s="50"/>
      <c r="V671" s="50"/>
      <c r="W671" s="50"/>
      <c r="X671" s="50"/>
      <c r="Y671" s="50"/>
      <c r="Z671" s="50"/>
      <c r="AA671" s="50"/>
      <c r="AB671" s="50"/>
      <c r="AC671" s="50"/>
    </row>
    <row r="672">
      <c r="A672" s="48"/>
      <c r="B672" s="49" t="s">
        <v>3580</v>
      </c>
      <c r="C672" s="48" t="s">
        <v>3072</v>
      </c>
      <c r="D672" s="50" t="str">
        <f>IFERROR(__xludf.DUMMYFUNCTION("""COMPUTED_VALUE"""),"Cambuca")</f>
        <v>Cambuca</v>
      </c>
      <c r="E672" s="50"/>
      <c r="F672" s="50">
        <v>0.0</v>
      </c>
      <c r="G672" s="50">
        <v>0.0</v>
      </c>
      <c r="H672" s="50" t="s">
        <v>1710</v>
      </c>
      <c r="I672" s="50"/>
      <c r="J672" s="50" t="s">
        <v>3070</v>
      </c>
      <c r="K672" s="50" t="s">
        <v>3072</v>
      </c>
      <c r="L672" s="50"/>
      <c r="M672" s="50"/>
      <c r="N672" s="50"/>
      <c r="O672" s="50"/>
      <c r="P672" s="50"/>
      <c r="Q672" s="50"/>
      <c r="R672" s="50"/>
      <c r="S672" s="50"/>
      <c r="T672" s="50"/>
      <c r="U672" s="50"/>
      <c r="V672" s="50"/>
      <c r="W672" s="50"/>
      <c r="X672" s="50"/>
      <c r="Y672" s="50"/>
      <c r="Z672" s="50"/>
      <c r="AA672" s="50"/>
      <c r="AB672" s="50"/>
      <c r="AC672" s="50"/>
    </row>
    <row r="673">
      <c r="A673" s="48"/>
      <c r="B673" s="49" t="s">
        <v>3580</v>
      </c>
      <c r="C673" s="48" t="s">
        <v>3583</v>
      </c>
      <c r="D673" s="50" t="str">
        <f>IFERROR(__xludf.DUMMYFUNCTION("""COMPUTED_VALUE"""),"Rivilaris")</f>
        <v>Rivilaris</v>
      </c>
      <c r="E673" s="50"/>
      <c r="F673" s="50">
        <v>0.0</v>
      </c>
      <c r="G673" s="50">
        <v>0.0</v>
      </c>
      <c r="H673" s="50" t="s">
        <v>1710</v>
      </c>
      <c r="I673" s="50"/>
      <c r="J673" s="50" t="s">
        <v>3584</v>
      </c>
      <c r="K673" s="50" t="s">
        <v>3583</v>
      </c>
      <c r="L673" s="50"/>
      <c r="M673" s="50"/>
      <c r="N673" s="50"/>
      <c r="O673" s="50"/>
      <c r="P673" s="50"/>
      <c r="Q673" s="50"/>
      <c r="R673" s="50"/>
      <c r="S673" s="50"/>
      <c r="T673" s="50"/>
      <c r="U673" s="50"/>
      <c r="V673" s="50"/>
      <c r="W673" s="50"/>
      <c r="X673" s="50"/>
      <c r="Y673" s="50"/>
      <c r="Z673" s="50"/>
      <c r="AA673" s="50"/>
      <c r="AB673" s="50"/>
      <c r="AC673" s="50"/>
    </row>
    <row r="674">
      <c r="A674" s="48"/>
      <c r="B674" s="49" t="s">
        <v>3580</v>
      </c>
      <c r="C674" s="48" t="s">
        <v>3006</v>
      </c>
      <c r="D674" s="50" t="str">
        <f>IFERROR(__xludf.DUMMYFUNCTION("""COMPUTED_VALUE"""),"Pulasan")</f>
        <v>Pulasan</v>
      </c>
      <c r="E674" s="50"/>
      <c r="F674" s="50">
        <v>0.0</v>
      </c>
      <c r="G674" s="50">
        <v>0.0</v>
      </c>
      <c r="H674" s="50" t="s">
        <v>1710</v>
      </c>
      <c r="I674" s="50"/>
      <c r="J674" s="50" t="s">
        <v>3005</v>
      </c>
      <c r="K674" s="50" t="s">
        <v>3006</v>
      </c>
      <c r="L674" s="50"/>
      <c r="M674" s="50"/>
      <c r="N674" s="50"/>
      <c r="O674" s="50"/>
      <c r="P674" s="50"/>
      <c r="Q674" s="50"/>
      <c r="R674" s="50"/>
      <c r="S674" s="50"/>
      <c r="T674" s="50"/>
      <c r="U674" s="50"/>
      <c r="V674" s="50"/>
      <c r="W674" s="50"/>
      <c r="X674" s="50"/>
      <c r="Y674" s="50"/>
      <c r="Z674" s="50"/>
      <c r="AA674" s="50"/>
      <c r="AB674" s="50"/>
      <c r="AC674" s="50"/>
    </row>
    <row r="675">
      <c r="A675" s="48"/>
      <c r="B675" s="49"/>
      <c r="C675" s="48"/>
      <c r="D675" s="50" t="str">
        <f>IFERROR(__xludf.DUMMYFUNCTION("""COMPUTED_VALUE"""),"")</f>
        <v/>
      </c>
      <c r="E675" s="50"/>
      <c r="F675" s="50"/>
      <c r="G675" s="50"/>
      <c r="H675" s="50" t="s">
        <v>1710</v>
      </c>
      <c r="I675" s="50"/>
      <c r="J675" s="50"/>
      <c r="K675" s="50"/>
      <c r="L675" s="50"/>
      <c r="M675" s="50"/>
      <c r="N675" s="50"/>
      <c r="O675" s="50"/>
      <c r="P675" s="50"/>
      <c r="Q675" s="50"/>
      <c r="R675" s="50"/>
      <c r="S675" s="50"/>
      <c r="T675" s="50"/>
      <c r="U675" s="50"/>
      <c r="V675" s="50"/>
      <c r="W675" s="50"/>
      <c r="X675" s="50"/>
      <c r="Y675" s="50"/>
      <c r="Z675" s="50"/>
      <c r="AA675" s="50"/>
      <c r="AB675" s="50"/>
      <c r="AC675" s="50"/>
    </row>
    <row r="676">
      <c r="A676" s="48" t="s">
        <v>3585</v>
      </c>
      <c r="B676" s="49" t="s">
        <v>3586</v>
      </c>
      <c r="C676" s="48" t="s">
        <v>3587</v>
      </c>
      <c r="D676" s="50" t="str">
        <f>IFERROR(__xludf.DUMMYFUNCTION("""COMPUTED_VALUE"""),"Graines Anciennes De Baker'S Creek")</f>
        <v>Graines Anciennes De Baker'S Creek</v>
      </c>
      <c r="E676" s="50"/>
      <c r="F676" s="50" t="s">
        <v>3587</v>
      </c>
      <c r="G676" s="50" t="s">
        <v>3587</v>
      </c>
      <c r="H676" s="50" t="s">
        <v>1710</v>
      </c>
      <c r="I676" s="50"/>
      <c r="J676" s="50"/>
      <c r="K676" s="50"/>
      <c r="L676" s="50"/>
      <c r="M676" s="50"/>
      <c r="N676" s="50"/>
      <c r="O676" s="50"/>
      <c r="P676" s="50"/>
      <c r="Q676" s="50"/>
      <c r="R676" s="50"/>
      <c r="S676" s="50"/>
      <c r="T676" s="50"/>
      <c r="U676" s="50"/>
      <c r="V676" s="50"/>
      <c r="W676" s="50"/>
      <c r="X676" s="50"/>
      <c r="Y676" s="50"/>
      <c r="Z676" s="50"/>
      <c r="AA676" s="50"/>
      <c r="AB676" s="50"/>
      <c r="AC676" s="50"/>
    </row>
    <row r="677">
      <c r="A677" s="48" t="s">
        <v>3585</v>
      </c>
      <c r="B677" s="49" t="s">
        <v>3588</v>
      </c>
      <c r="C677" s="48" t="s">
        <v>3589</v>
      </c>
      <c r="D677" s="50" t="str">
        <f>IFERROR(__xludf.DUMMYFUNCTION("""COMPUTED_VALUE"""),"Crawley")</f>
        <v>Crawley</v>
      </c>
      <c r="E677" s="50"/>
      <c r="F677" s="50" t="s">
        <v>3589</v>
      </c>
      <c r="G677" s="50" t="s">
        <v>3589</v>
      </c>
      <c r="H677" s="50" t="s">
        <v>1710</v>
      </c>
      <c r="I677" s="50"/>
      <c r="J677" s="50"/>
      <c r="K677" s="50"/>
      <c r="L677" s="50"/>
      <c r="M677" s="50"/>
      <c r="N677" s="50"/>
      <c r="O677" s="50"/>
      <c r="P677" s="50"/>
      <c r="Q677" s="50"/>
      <c r="R677" s="50"/>
      <c r="S677" s="50"/>
      <c r="T677" s="50"/>
      <c r="U677" s="50"/>
      <c r="V677" s="50"/>
      <c r="W677" s="50"/>
      <c r="X677" s="50"/>
      <c r="Y677" s="50"/>
      <c r="Z677" s="50"/>
      <c r="AA677" s="50"/>
      <c r="AB677" s="50"/>
      <c r="AC677" s="50"/>
    </row>
    <row r="678">
      <c r="A678" s="48" t="s">
        <v>3585</v>
      </c>
      <c r="B678" s="49" t="s">
        <v>3590</v>
      </c>
      <c r="C678" s="48" t="s">
        <v>3591</v>
      </c>
      <c r="D678" s="50" t="str">
        <f>IFERROR(__xludf.DUMMYFUNCTION("""COMPUTED_VALUE"""),"Cvs Et Trader Joes")</f>
        <v>Cvs Et Trader Joes</v>
      </c>
      <c r="E678" s="50"/>
      <c r="F678" s="50" t="s">
        <v>3591</v>
      </c>
      <c r="G678" s="50" t="s">
        <v>3591</v>
      </c>
      <c r="H678" s="50" t="s">
        <v>1710</v>
      </c>
      <c r="I678" s="50"/>
      <c r="J678" s="50"/>
      <c r="K678" s="50"/>
      <c r="L678" s="50"/>
      <c r="M678" s="50"/>
      <c r="N678" s="50"/>
      <c r="O678" s="50"/>
      <c r="P678" s="50"/>
      <c r="Q678" s="50"/>
      <c r="R678" s="50"/>
      <c r="S678" s="50"/>
      <c r="T678" s="50"/>
      <c r="U678" s="50"/>
      <c r="V678" s="50"/>
      <c r="W678" s="50"/>
      <c r="X678" s="50"/>
      <c r="Y678" s="50"/>
      <c r="Z678" s="50"/>
      <c r="AA678" s="50"/>
      <c r="AB678" s="50"/>
      <c r="AC678" s="50"/>
    </row>
    <row r="679">
      <c r="A679" s="48" t="s">
        <v>3585</v>
      </c>
      <c r="B679" s="49" t="s">
        <v>3592</v>
      </c>
      <c r="C679" s="48" t="s">
        <v>3593</v>
      </c>
      <c r="D679" s="50" t="str">
        <f>IFERROR(__xludf.DUMMYFUNCTION("""COMPUTED_VALUE"""),"Dr Vernon - Miami, Floride")</f>
        <v>Dr Vernon - Miami, Floride</v>
      </c>
      <c r="E679" s="50"/>
      <c r="F679" s="50" t="s">
        <v>3593</v>
      </c>
      <c r="G679" s="50" t="s">
        <v>3593</v>
      </c>
      <c r="H679" s="50" t="s">
        <v>1710</v>
      </c>
      <c r="I679" s="50"/>
      <c r="J679" s="50"/>
      <c r="K679" s="50"/>
      <c r="L679" s="50"/>
      <c r="M679" s="50"/>
      <c r="N679" s="50"/>
      <c r="O679" s="50"/>
      <c r="P679" s="50"/>
      <c r="Q679" s="50"/>
      <c r="R679" s="50"/>
      <c r="S679" s="50"/>
      <c r="T679" s="50"/>
      <c r="U679" s="50"/>
      <c r="V679" s="50"/>
      <c r="W679" s="50"/>
      <c r="X679" s="50"/>
      <c r="Y679" s="50"/>
      <c r="Z679" s="50"/>
      <c r="AA679" s="50"/>
      <c r="AB679" s="50"/>
      <c r="AC679" s="50"/>
    </row>
    <row r="680">
      <c r="A680" s="48" t="s">
        <v>3585</v>
      </c>
      <c r="B680" s="49" t="s">
        <v>3594</v>
      </c>
      <c r="C680" s="48" t="s">
        <v>3595</v>
      </c>
      <c r="D680" s="50" t="str">
        <f>IFERROR(__xludf.DUMMYFUNCTION("""COMPUTED_VALUE"""),"Ebay - Plantes Tropicales")</f>
        <v>Ebay - Plantes Tropicales</v>
      </c>
      <c r="E680" s="50"/>
      <c r="F680" s="50" t="s">
        <v>3595</v>
      </c>
      <c r="G680" s="50" t="s">
        <v>3595</v>
      </c>
      <c r="H680" s="50" t="s">
        <v>1710</v>
      </c>
      <c r="I680" s="50"/>
      <c r="J680" s="50"/>
      <c r="K680" s="50"/>
      <c r="L680" s="50"/>
      <c r="M680" s="50"/>
      <c r="N680" s="50"/>
      <c r="O680" s="50"/>
      <c r="P680" s="50"/>
      <c r="Q680" s="50"/>
      <c r="R680" s="50"/>
      <c r="S680" s="50"/>
      <c r="T680" s="50"/>
      <c r="U680" s="50"/>
      <c r="V680" s="50"/>
      <c r="W680" s="50"/>
      <c r="X680" s="50"/>
      <c r="Y680" s="50"/>
      <c r="Z680" s="50"/>
      <c r="AA680" s="50"/>
      <c r="AB680" s="50"/>
      <c r="AC680" s="50"/>
    </row>
    <row r="681">
      <c r="A681" s="48" t="s">
        <v>3585</v>
      </c>
      <c r="B681" s="49" t="s">
        <v>3596</v>
      </c>
      <c r="C681" s="48" t="s">
        <v>3597</v>
      </c>
      <c r="D681" s="50" t="str">
        <f>IFERROR(__xludf.DUMMYFUNCTION("""COMPUTED_VALUE"""),"Écho")</f>
        <v>Écho</v>
      </c>
      <c r="E681" s="50"/>
      <c r="F681" s="50" t="s">
        <v>3597</v>
      </c>
      <c r="G681" s="50" t="s">
        <v>3597</v>
      </c>
      <c r="H681" s="50" t="s">
        <v>1710</v>
      </c>
      <c r="I681" s="50"/>
      <c r="J681" s="50"/>
      <c r="K681" s="50"/>
      <c r="L681" s="50"/>
      <c r="M681" s="50"/>
      <c r="N681" s="50"/>
      <c r="O681" s="50"/>
      <c r="P681" s="50"/>
      <c r="Q681" s="50"/>
      <c r="R681" s="50"/>
      <c r="S681" s="50"/>
      <c r="T681" s="50"/>
      <c r="U681" s="50"/>
      <c r="V681" s="50"/>
      <c r="W681" s="50"/>
      <c r="X681" s="50"/>
      <c r="Y681" s="50"/>
      <c r="Z681" s="50"/>
      <c r="AA681" s="50"/>
      <c r="AB681" s="50"/>
      <c r="AC681" s="50"/>
    </row>
    <row r="682">
      <c r="A682" s="48" t="s">
        <v>3585</v>
      </c>
      <c r="B682" s="49" t="s">
        <v>3598</v>
      </c>
      <c r="C682" s="48" t="s">
        <v>3599</v>
      </c>
      <c r="D682" s="50" t="str">
        <f>IFERROR(__xludf.DUMMYFUNCTION("""COMPUTED_VALUE"""),"Ferme Des Everglades")</f>
        <v>Ferme Des Everglades</v>
      </c>
      <c r="E682" s="50"/>
      <c r="F682" s="50" t="s">
        <v>3599</v>
      </c>
      <c r="G682" s="50" t="s">
        <v>3599</v>
      </c>
      <c r="H682" s="50" t="s">
        <v>1710</v>
      </c>
      <c r="I682" s="50"/>
      <c r="J682" s="50"/>
      <c r="K682" s="50"/>
      <c r="L682" s="50"/>
      <c r="M682" s="50"/>
      <c r="N682" s="50"/>
      <c r="O682" s="50"/>
      <c r="P682" s="50"/>
      <c r="Q682" s="50"/>
      <c r="R682" s="50"/>
      <c r="S682" s="50"/>
      <c r="T682" s="50"/>
      <c r="U682" s="50"/>
      <c r="V682" s="50"/>
      <c r="W682" s="50"/>
      <c r="X682" s="50"/>
      <c r="Y682" s="50"/>
      <c r="Z682" s="50"/>
      <c r="AA682" s="50"/>
      <c r="AB682" s="50"/>
      <c r="AC682" s="50"/>
    </row>
    <row r="683">
      <c r="A683" s="48" t="s">
        <v>3585</v>
      </c>
      <c r="B683" s="49" t="s">
        <v>3600</v>
      </c>
      <c r="C683" s="48" t="s">
        <v>3601</v>
      </c>
      <c r="D683" s="50" t="str">
        <f>IFERROR(__xludf.DUMMYFUNCTION("""COMPUTED_VALUE"""),"Excalibur")</f>
        <v>Excalibur</v>
      </c>
      <c r="E683" s="50"/>
      <c r="F683" s="50" t="s">
        <v>3601</v>
      </c>
      <c r="G683" s="50" t="s">
        <v>3601</v>
      </c>
      <c r="H683" s="50" t="s">
        <v>1710</v>
      </c>
      <c r="I683" s="50"/>
      <c r="J683" s="50"/>
      <c r="K683" s="50"/>
      <c r="L683" s="50"/>
      <c r="M683" s="50"/>
      <c r="N683" s="50"/>
      <c r="O683" s="50"/>
      <c r="P683" s="50"/>
      <c r="Q683" s="50"/>
      <c r="R683" s="50"/>
      <c r="S683" s="50"/>
      <c r="T683" s="50"/>
      <c r="U683" s="50"/>
      <c r="V683" s="50"/>
      <c r="W683" s="50"/>
      <c r="X683" s="50"/>
      <c r="Y683" s="50"/>
      <c r="Z683" s="50"/>
      <c r="AA683" s="50"/>
      <c r="AB683" s="50"/>
      <c r="AC683" s="50"/>
    </row>
    <row r="684">
      <c r="A684" s="48" t="s">
        <v>3585</v>
      </c>
      <c r="B684" s="49" t="s">
        <v>3602</v>
      </c>
      <c r="C684" s="48" t="s">
        <v>3603</v>
      </c>
      <c r="D684" s="50" t="str">
        <f>IFERROR(__xludf.DUMMYFUNCTION("""COMPUTED_VALUE"""),"Figbid")</f>
        <v>Figbid</v>
      </c>
      <c r="E684" s="50"/>
      <c r="F684" s="50" t="s">
        <v>3603</v>
      </c>
      <c r="G684" s="50" t="s">
        <v>3603</v>
      </c>
      <c r="H684" s="50" t="s">
        <v>1710</v>
      </c>
      <c r="I684" s="50"/>
      <c r="J684" s="50"/>
      <c r="K684" s="50"/>
      <c r="L684" s="50"/>
      <c r="M684" s="50"/>
      <c r="N684" s="50"/>
      <c r="O684" s="50"/>
      <c r="P684" s="50"/>
      <c r="Q684" s="50"/>
      <c r="R684" s="50"/>
      <c r="S684" s="50"/>
      <c r="T684" s="50"/>
      <c r="U684" s="50"/>
      <c r="V684" s="50"/>
      <c r="W684" s="50"/>
      <c r="X684" s="50"/>
      <c r="Y684" s="50"/>
      <c r="Z684" s="50"/>
      <c r="AA684" s="50"/>
      <c r="AB684" s="50"/>
      <c r="AC684" s="50"/>
    </row>
    <row r="685">
      <c r="A685" s="48" t="s">
        <v>3585</v>
      </c>
      <c r="B685" s="49" t="s">
        <v>3604</v>
      </c>
      <c r="C685" s="48" t="s">
        <v>3605</v>
      </c>
      <c r="D685" s="50" t="str">
        <f>IFERROR(__xludf.DUMMYFUNCTION("""COMPUTED_VALUE"""),"Parc Des Fruits Et Des Épices")</f>
        <v>Parc Des Fruits Et Des Épices</v>
      </c>
      <c r="E685" s="50"/>
      <c r="F685" s="50" t="s">
        <v>3605</v>
      </c>
      <c r="G685" s="50" t="s">
        <v>3605</v>
      </c>
      <c r="H685" s="50" t="s">
        <v>1710</v>
      </c>
      <c r="I685" s="50"/>
      <c r="J685" s="50"/>
      <c r="K685" s="50"/>
      <c r="L685" s="50"/>
      <c r="M685" s="50"/>
      <c r="N685" s="50"/>
      <c r="O685" s="50"/>
      <c r="P685" s="50"/>
      <c r="Q685" s="50"/>
      <c r="R685" s="50"/>
      <c r="S685" s="50"/>
      <c r="T685" s="50"/>
      <c r="U685" s="50"/>
      <c r="V685" s="50"/>
      <c r="W685" s="50"/>
      <c r="X685" s="50"/>
      <c r="Y685" s="50"/>
      <c r="Z685" s="50"/>
      <c r="AA685" s="50"/>
      <c r="AB685" s="50"/>
      <c r="AC685" s="50"/>
    </row>
    <row r="686">
      <c r="A686" s="48" t="s">
        <v>3585</v>
      </c>
      <c r="B686" s="49" t="s">
        <v>3606</v>
      </c>
      <c r="C686" s="48" t="s">
        <v>3607</v>
      </c>
      <c r="D686" s="50" t="str">
        <f>IFERROR(__xludf.DUMMYFUNCTION("""COMPUTED_VALUE"""),"Paysages Fruitiers")</f>
        <v>Paysages Fruitiers</v>
      </c>
      <c r="E686" s="50"/>
      <c r="F686" s="50" t="s">
        <v>3607</v>
      </c>
      <c r="G686" s="50" t="s">
        <v>3607</v>
      </c>
      <c r="H686" s="50" t="s">
        <v>1710</v>
      </c>
      <c r="I686" s="50"/>
      <c r="J686" s="50"/>
      <c r="K686" s="50"/>
      <c r="L686" s="50"/>
      <c r="M686" s="50"/>
      <c r="N686" s="50"/>
      <c r="O686" s="50"/>
      <c r="P686" s="50"/>
      <c r="Q686" s="50"/>
      <c r="R686" s="50"/>
      <c r="S686" s="50"/>
      <c r="T686" s="50"/>
      <c r="U686" s="50"/>
      <c r="V686" s="50"/>
      <c r="W686" s="50"/>
      <c r="X686" s="50"/>
      <c r="Y686" s="50"/>
      <c r="Z686" s="50"/>
      <c r="AA686" s="50"/>
      <c r="AB686" s="50"/>
      <c r="AC686" s="50"/>
    </row>
    <row r="687">
      <c r="A687" s="48" t="s">
        <v>3585</v>
      </c>
      <c r="B687" s="49" t="s">
        <v>3608</v>
      </c>
      <c r="C687" s="48" t="s">
        <v>3609</v>
      </c>
      <c r="D687" s="50" t="str">
        <f>IFERROR(__xludf.DUMMYFUNCTION("""COMPUTED_VALUE"""),"Épicerie Ft. Myers - Équateur")</f>
        <v>Épicerie Ft. Myers - Équateur</v>
      </c>
      <c r="E687" s="50"/>
      <c r="F687" s="50" t="s">
        <v>3609</v>
      </c>
      <c r="G687" s="50" t="s">
        <v>3609</v>
      </c>
      <c r="H687" s="50" t="s">
        <v>1710</v>
      </c>
      <c r="I687" s="50"/>
      <c r="J687" s="50"/>
      <c r="K687" s="50"/>
      <c r="L687" s="50"/>
      <c r="M687" s="50"/>
      <c r="N687" s="50"/>
      <c r="O687" s="50"/>
      <c r="P687" s="50"/>
      <c r="Q687" s="50"/>
      <c r="R687" s="50"/>
      <c r="S687" s="50"/>
      <c r="T687" s="50"/>
      <c r="U687" s="50"/>
      <c r="V687" s="50"/>
      <c r="W687" s="50"/>
      <c r="X687" s="50"/>
      <c r="Y687" s="50"/>
      <c r="Z687" s="50"/>
      <c r="AA687" s="50"/>
      <c r="AB687" s="50"/>
      <c r="AC687" s="50"/>
    </row>
    <row r="688">
      <c r="A688" s="48" t="s">
        <v>3585</v>
      </c>
      <c r="B688" s="49" t="s">
        <v>3610</v>
      </c>
      <c r="C688" s="48" t="s">
        <v>3611</v>
      </c>
      <c r="D688" s="50" t="str">
        <f>IFERROR(__xludf.DUMMYFUNCTION("""COMPUTED_VALUE"""),"Devenir Banane")</f>
        <v>Devenir Banane</v>
      </c>
      <c r="E688" s="50"/>
      <c r="F688" s="50" t="s">
        <v>3611</v>
      </c>
      <c r="G688" s="50" t="s">
        <v>3611</v>
      </c>
      <c r="H688" s="50" t="s">
        <v>1710</v>
      </c>
      <c r="I688" s="50"/>
      <c r="J688" s="50"/>
      <c r="K688" s="50"/>
      <c r="L688" s="50"/>
      <c r="M688" s="50"/>
      <c r="N688" s="50"/>
      <c r="O688" s="50"/>
      <c r="P688" s="50"/>
      <c r="Q688" s="50"/>
      <c r="R688" s="50"/>
      <c r="S688" s="50"/>
      <c r="T688" s="50"/>
      <c r="U688" s="50"/>
      <c r="V688" s="50"/>
      <c r="W688" s="50"/>
      <c r="X688" s="50"/>
      <c r="Y688" s="50"/>
      <c r="Z688" s="50"/>
      <c r="AA688" s="50"/>
      <c r="AB688" s="50"/>
      <c r="AC688" s="50"/>
    </row>
    <row r="689">
      <c r="A689" s="48" t="s">
        <v>3585</v>
      </c>
      <c r="B689" s="49" t="s">
        <v>3612</v>
      </c>
      <c r="C689" s="48" t="s">
        <v>3613</v>
      </c>
      <c r="D689" s="50" t="str">
        <f>IFERROR(__xludf.DUMMYFUNCTION("""COMPUTED_VALUE"""),"Sourire")</f>
        <v>Sourire</v>
      </c>
      <c r="E689" s="50"/>
      <c r="F689" s="50" t="s">
        <v>3613</v>
      </c>
      <c r="G689" s="50" t="s">
        <v>3613</v>
      </c>
      <c r="H689" s="50" t="s">
        <v>1710</v>
      </c>
      <c r="I689" s="50"/>
      <c r="J689" s="50"/>
      <c r="K689" s="50"/>
      <c r="L689" s="50"/>
      <c r="M689" s="50"/>
      <c r="N689" s="50"/>
      <c r="O689" s="50"/>
      <c r="P689" s="50"/>
      <c r="Q689" s="50"/>
      <c r="R689" s="50"/>
      <c r="S689" s="50"/>
      <c r="T689" s="50"/>
      <c r="U689" s="50"/>
      <c r="V689" s="50"/>
      <c r="W689" s="50"/>
      <c r="X689" s="50"/>
      <c r="Y689" s="50"/>
      <c r="Z689" s="50"/>
      <c r="AA689" s="50"/>
      <c r="AB689" s="50"/>
      <c r="AC689" s="50"/>
    </row>
    <row r="690">
      <c r="A690" s="48" t="s">
        <v>3585</v>
      </c>
      <c r="B690" s="49" t="s">
        <v>3541</v>
      </c>
      <c r="C690" s="48" t="s">
        <v>3542</v>
      </c>
      <c r="D690" s="50" t="str">
        <f>IFERROR(__xludf.DUMMYFUNCTION("""COMPUTED_VALUE"""),"Kampong")</f>
        <v>Kampong</v>
      </c>
      <c r="E690" s="50"/>
      <c r="F690" s="50" t="s">
        <v>3542</v>
      </c>
      <c r="G690" s="50" t="s">
        <v>3542</v>
      </c>
      <c r="H690" s="50" t="s">
        <v>1710</v>
      </c>
      <c r="I690" s="50"/>
      <c r="J690" s="50"/>
      <c r="K690" s="50"/>
      <c r="L690" s="50"/>
      <c r="M690" s="50"/>
      <c r="N690" s="50"/>
      <c r="O690" s="50"/>
      <c r="P690" s="50"/>
      <c r="Q690" s="50"/>
      <c r="R690" s="50"/>
      <c r="S690" s="50"/>
      <c r="T690" s="50"/>
      <c r="U690" s="50"/>
      <c r="V690" s="50"/>
      <c r="W690" s="50"/>
      <c r="X690" s="50"/>
      <c r="Y690" s="50"/>
      <c r="Z690" s="50"/>
      <c r="AA690" s="50"/>
      <c r="AB690" s="50"/>
      <c r="AC690" s="50"/>
    </row>
    <row r="691">
      <c r="A691" s="48" t="s">
        <v>3585</v>
      </c>
      <c r="B691" s="49" t="s">
        <v>3614</v>
      </c>
      <c r="C691" s="48" t="s">
        <v>3615</v>
      </c>
      <c r="D691" s="50" t="str">
        <f>IFERROR(__xludf.DUMMYFUNCTION("""COMPUTED_VALUE"""),"Marché Fermier De Lakes Park Myexotics")</f>
        <v>Marché Fermier De Lakes Park Myexotics</v>
      </c>
      <c r="E691" s="50"/>
      <c r="F691" s="50" t="s">
        <v>3615</v>
      </c>
      <c r="G691" s="50" t="s">
        <v>3615</v>
      </c>
      <c r="H691" s="50" t="s">
        <v>1710</v>
      </c>
      <c r="I691" s="50"/>
      <c r="J691" s="50"/>
      <c r="K691" s="50"/>
      <c r="L691" s="50"/>
      <c r="M691" s="50"/>
      <c r="N691" s="50"/>
      <c r="O691" s="50"/>
      <c r="P691" s="50"/>
      <c r="Q691" s="50"/>
      <c r="R691" s="50"/>
      <c r="S691" s="50"/>
      <c r="T691" s="50"/>
      <c r="U691" s="50"/>
      <c r="V691" s="50"/>
      <c r="W691" s="50"/>
      <c r="X691" s="50"/>
      <c r="Y691" s="50"/>
      <c r="Z691" s="50"/>
      <c r="AA691" s="50"/>
      <c r="AB691" s="50"/>
      <c r="AC691" s="50"/>
    </row>
    <row r="692">
      <c r="A692" s="48" t="s">
        <v>3585</v>
      </c>
      <c r="B692" s="49" t="s">
        <v>1213</v>
      </c>
      <c r="C692" s="48" t="s">
        <v>3616</v>
      </c>
      <c r="D692" s="50" t="str">
        <f>IFERROR(__xludf.DUMMYFUNCTION("""COMPUTED_VALUE"""),"Les Fermes De Lara")</f>
        <v>Les Fermes De Lara</v>
      </c>
      <c r="E692" s="50"/>
      <c r="F692" s="50" t="s">
        <v>3616</v>
      </c>
      <c r="G692" s="50" t="s">
        <v>3616</v>
      </c>
      <c r="H692" s="50" t="s">
        <v>1710</v>
      </c>
      <c r="I692" s="50"/>
      <c r="J692" s="50"/>
      <c r="K692" s="50"/>
      <c r="L692" s="50"/>
      <c r="M692" s="50"/>
      <c r="N692" s="50"/>
      <c r="O692" s="50"/>
      <c r="P692" s="50"/>
      <c r="Q692" s="50"/>
      <c r="R692" s="50"/>
      <c r="S692" s="50"/>
      <c r="T692" s="50"/>
      <c r="U692" s="50"/>
      <c r="V692" s="50"/>
      <c r="W692" s="50"/>
      <c r="X692" s="50"/>
      <c r="Y692" s="50"/>
      <c r="Z692" s="50"/>
      <c r="AA692" s="50"/>
      <c r="AB692" s="50"/>
      <c r="AC692" s="50"/>
    </row>
    <row r="693">
      <c r="A693" s="48" t="s">
        <v>3585</v>
      </c>
      <c r="B693" s="49" t="s">
        <v>3617</v>
      </c>
      <c r="C693" s="48" t="s">
        <v>3618</v>
      </c>
      <c r="D693" s="50" t="str">
        <f>IFERROR(__xludf.DUMMYFUNCTION("""COMPUTED_VALUE"""),"Lowes")</f>
        <v>Lowes</v>
      </c>
      <c r="E693" s="50"/>
      <c r="F693" s="50" t="s">
        <v>3618</v>
      </c>
      <c r="G693" s="50" t="s">
        <v>3618</v>
      </c>
      <c r="H693" s="50" t="s">
        <v>1710</v>
      </c>
      <c r="I693" s="50"/>
      <c r="J693" s="50"/>
      <c r="K693" s="50"/>
      <c r="L693" s="50"/>
      <c r="M693" s="50"/>
      <c r="N693" s="50"/>
      <c r="O693" s="50"/>
      <c r="P693" s="50"/>
      <c r="Q693" s="50"/>
      <c r="R693" s="50"/>
      <c r="S693" s="50"/>
      <c r="T693" s="50"/>
      <c r="U693" s="50"/>
      <c r="V693" s="50"/>
      <c r="W693" s="50"/>
      <c r="X693" s="50"/>
      <c r="Y693" s="50"/>
      <c r="Z693" s="50"/>
      <c r="AA693" s="50"/>
      <c r="AB693" s="50"/>
      <c r="AC693" s="50"/>
    </row>
    <row r="694">
      <c r="A694" s="48" t="s">
        <v>3585</v>
      </c>
      <c r="B694" s="49" t="s">
        <v>3619</v>
      </c>
      <c r="C694" s="48" t="s">
        <v>3620</v>
      </c>
      <c r="D694" s="50" t="str">
        <f>IFERROR(__xludf.DUMMYFUNCTION("""COMPUTED_VALUE"""),"Maria Corona Produce Meilleur Marché De Producteurs")</f>
        <v>Maria Corona Produce Meilleur Marché De Producteurs</v>
      </c>
      <c r="E694" s="50"/>
      <c r="F694" s="50" t="s">
        <v>3620</v>
      </c>
      <c r="G694" s="50" t="s">
        <v>3620</v>
      </c>
      <c r="H694" s="50" t="s">
        <v>1710</v>
      </c>
      <c r="I694" s="50"/>
      <c r="J694" s="50"/>
      <c r="K694" s="50"/>
      <c r="L694" s="50"/>
      <c r="M694" s="50"/>
      <c r="N694" s="50"/>
      <c r="O694" s="50"/>
      <c r="P694" s="50"/>
      <c r="Q694" s="50"/>
      <c r="R694" s="50"/>
      <c r="S694" s="50"/>
      <c r="T694" s="50"/>
      <c r="U694" s="50"/>
      <c r="V694" s="50"/>
      <c r="W694" s="50"/>
      <c r="X694" s="50"/>
      <c r="Y694" s="50"/>
      <c r="Z694" s="50"/>
      <c r="AA694" s="50"/>
      <c r="AB694" s="50"/>
      <c r="AC694" s="50"/>
    </row>
    <row r="695">
      <c r="A695" s="48" t="s">
        <v>3585</v>
      </c>
      <c r="B695" s="49" t="s">
        <v>3621</v>
      </c>
      <c r="C695" s="48" t="s">
        <v>3622</v>
      </c>
      <c r="D695" s="50" t="str">
        <f>IFERROR(__xludf.DUMMYFUNCTION("""COMPUTED_VALUE"""),"Fruits De Miami")</f>
        <v>Fruits De Miami</v>
      </c>
      <c r="E695" s="50"/>
      <c r="F695" s="50" t="s">
        <v>3622</v>
      </c>
      <c r="G695" s="50" t="s">
        <v>3622</v>
      </c>
      <c r="H695" s="50" t="s">
        <v>1710</v>
      </c>
      <c r="I695" s="50"/>
      <c r="J695" s="50"/>
      <c r="K695" s="50"/>
      <c r="L695" s="50"/>
      <c r="M695" s="50"/>
      <c r="N695" s="50"/>
      <c r="O695" s="50"/>
      <c r="P695" s="50"/>
      <c r="Q695" s="50"/>
      <c r="R695" s="50"/>
      <c r="S695" s="50"/>
      <c r="T695" s="50"/>
      <c r="U695" s="50"/>
      <c r="V695" s="50"/>
      <c r="W695" s="50"/>
      <c r="X695" s="50"/>
      <c r="Y695" s="50"/>
      <c r="Z695" s="50"/>
      <c r="AA695" s="50"/>
      <c r="AB695" s="50"/>
      <c r="AC695" s="50"/>
    </row>
    <row r="696">
      <c r="A696" s="48" t="s">
        <v>3585</v>
      </c>
      <c r="B696" s="49" t="s">
        <v>3623</v>
      </c>
      <c r="C696" s="48" t="s">
        <v>19</v>
      </c>
      <c r="D696" s="50" t="str">
        <f>IFERROR(__xludf.DUMMYFUNCTION("""COMPUTED_VALUE"""),"Autre")</f>
        <v>Autre</v>
      </c>
      <c r="E696" s="50"/>
      <c r="F696" s="50" t="s">
        <v>19</v>
      </c>
      <c r="G696" s="50" t="s">
        <v>19</v>
      </c>
      <c r="H696" s="50" t="s">
        <v>1710</v>
      </c>
      <c r="I696" s="50"/>
      <c r="J696" s="50"/>
      <c r="K696" s="50"/>
      <c r="L696" s="50"/>
      <c r="M696" s="50"/>
      <c r="N696" s="50"/>
      <c r="O696" s="50"/>
      <c r="P696" s="50"/>
      <c r="Q696" s="50"/>
      <c r="R696" s="50"/>
      <c r="S696" s="50"/>
      <c r="T696" s="50"/>
      <c r="U696" s="50"/>
      <c r="V696" s="50"/>
      <c r="W696" s="50"/>
      <c r="X696" s="50"/>
      <c r="Y696" s="50"/>
      <c r="Z696" s="50"/>
      <c r="AA696" s="50"/>
      <c r="AB696" s="50"/>
      <c r="AC696" s="50"/>
    </row>
    <row r="697">
      <c r="A697" s="48" t="s">
        <v>3585</v>
      </c>
      <c r="B697" s="49" t="s">
        <v>3624</v>
      </c>
      <c r="C697" s="48" t="s">
        <v>3625</v>
      </c>
      <c r="D697" s="50" t="str">
        <f>IFERROR(__xludf.DUMMYFUNCTION("""COMPUTED_VALUE"""),"Pépinière De Pine Island")</f>
        <v>Pépinière De Pine Island</v>
      </c>
      <c r="E697" s="50"/>
      <c r="F697" s="50" t="s">
        <v>3625</v>
      </c>
      <c r="G697" s="50" t="s">
        <v>3625</v>
      </c>
      <c r="H697" s="50" t="s">
        <v>1710</v>
      </c>
      <c r="I697" s="50"/>
      <c r="J697" s="50"/>
      <c r="K697" s="50"/>
      <c r="L697" s="50"/>
      <c r="M697" s="50"/>
      <c r="N697" s="50"/>
      <c r="O697" s="50"/>
      <c r="P697" s="50"/>
      <c r="Q697" s="50"/>
      <c r="R697" s="50"/>
      <c r="S697" s="50"/>
      <c r="T697" s="50"/>
      <c r="U697" s="50"/>
      <c r="V697" s="50"/>
      <c r="W697" s="50"/>
      <c r="X697" s="50"/>
      <c r="Y697" s="50"/>
      <c r="Z697" s="50"/>
      <c r="AA697" s="50"/>
      <c r="AB697" s="50"/>
      <c r="AC697" s="50"/>
    </row>
    <row r="698">
      <c r="A698" s="48" t="s">
        <v>3585</v>
      </c>
      <c r="B698" s="49" t="s">
        <v>3626</v>
      </c>
      <c r="C698" s="48" t="s">
        <v>3627</v>
      </c>
      <c r="D698" s="50" t="str">
        <f>IFERROR(__xludf.DUMMYFUNCTION("""COMPUTED_VALUE"""),"Richard Lyons")</f>
        <v>Richard Lyons</v>
      </c>
      <c r="E698" s="50"/>
      <c r="F698" s="50" t="s">
        <v>3627</v>
      </c>
      <c r="G698" s="50" t="s">
        <v>3627</v>
      </c>
      <c r="H698" s="50" t="s">
        <v>1710</v>
      </c>
      <c r="I698" s="50"/>
      <c r="J698" s="50"/>
      <c r="K698" s="50"/>
      <c r="L698" s="50"/>
      <c r="M698" s="50"/>
      <c r="N698" s="50"/>
      <c r="O698" s="50"/>
      <c r="P698" s="50"/>
      <c r="Q698" s="50"/>
      <c r="R698" s="50"/>
      <c r="S698" s="50"/>
      <c r="T698" s="50"/>
      <c r="U698" s="50"/>
      <c r="V698" s="50"/>
      <c r="W698" s="50"/>
      <c r="X698" s="50"/>
      <c r="Y698" s="50"/>
      <c r="Z698" s="50"/>
      <c r="AA698" s="50"/>
      <c r="AB698" s="50"/>
      <c r="AC698" s="50"/>
    </row>
    <row r="699">
      <c r="A699" s="48" t="s">
        <v>3585</v>
      </c>
      <c r="B699" s="49" t="s">
        <v>3628</v>
      </c>
      <c r="C699" s="48" t="s">
        <v>3629</v>
      </c>
      <c r="D699" s="50" t="str">
        <f>IFERROR(__xludf.DUMMYFUNCTION("""COMPUTED_VALUE"""),"Robert Est Là")</f>
        <v>Robert Est Là</v>
      </c>
      <c r="E699" s="50"/>
      <c r="F699" s="50" t="s">
        <v>3629</v>
      </c>
      <c r="G699" s="50" t="s">
        <v>3629</v>
      </c>
      <c r="H699" s="50" t="s">
        <v>1710</v>
      </c>
      <c r="I699" s="50"/>
      <c r="J699" s="50"/>
      <c r="K699" s="50"/>
      <c r="L699" s="50"/>
      <c r="M699" s="50"/>
      <c r="N699" s="50"/>
      <c r="O699" s="50"/>
      <c r="P699" s="50"/>
      <c r="Q699" s="50"/>
      <c r="R699" s="50"/>
      <c r="S699" s="50"/>
      <c r="T699" s="50"/>
      <c r="U699" s="50"/>
      <c r="V699" s="50"/>
      <c r="W699" s="50"/>
      <c r="X699" s="50"/>
      <c r="Y699" s="50"/>
      <c r="Z699" s="50"/>
      <c r="AA699" s="50"/>
      <c r="AB699" s="50"/>
      <c r="AC699" s="50"/>
    </row>
    <row r="700">
      <c r="A700" s="48" t="s">
        <v>3585</v>
      </c>
      <c r="B700" s="49" t="s">
        <v>3630</v>
      </c>
      <c r="C700" s="48" t="s">
        <v>3631</v>
      </c>
      <c r="D700" s="50" t="str">
        <f>IFERROR(__xludf.DUMMYFUNCTION("""COMPUTED_VALUE"""),"Économiseurs De Semences")</f>
        <v>Économiseurs De Semences</v>
      </c>
      <c r="E700" s="50"/>
      <c r="F700" s="50" t="s">
        <v>3631</v>
      </c>
      <c r="G700" s="50" t="s">
        <v>3631</v>
      </c>
      <c r="H700" s="50" t="s">
        <v>1710</v>
      </c>
      <c r="I700" s="50"/>
      <c r="J700" s="50"/>
      <c r="K700" s="50"/>
      <c r="L700" s="50"/>
      <c r="M700" s="50"/>
      <c r="N700" s="50"/>
      <c r="O700" s="50"/>
      <c r="P700" s="50"/>
      <c r="Q700" s="50"/>
      <c r="R700" s="50"/>
      <c r="S700" s="50"/>
      <c r="T700" s="50"/>
      <c r="U700" s="50"/>
      <c r="V700" s="50"/>
      <c r="W700" s="50"/>
      <c r="X700" s="50"/>
      <c r="Y700" s="50"/>
      <c r="Z700" s="50"/>
      <c r="AA700" s="50"/>
      <c r="AB700" s="50"/>
      <c r="AC700" s="50"/>
    </row>
    <row r="701">
      <c r="A701" s="48" t="s">
        <v>3585</v>
      </c>
      <c r="B701" s="49" t="s">
        <v>3632</v>
      </c>
      <c r="C701" s="48" t="s">
        <v>3633</v>
      </c>
      <c r="D701" s="50" t="str">
        <f>IFERROR(__xludf.DUMMYFUNCTION("""COMPUTED_VALUE"""),"Conceptions De La Troisième Perspective")</f>
        <v>Conceptions De La Troisième Perspective</v>
      </c>
      <c r="E701" s="50"/>
      <c r="F701" s="50" t="s">
        <v>3633</v>
      </c>
      <c r="G701" s="50" t="s">
        <v>3633</v>
      </c>
      <c r="H701" s="50" t="s">
        <v>1710</v>
      </c>
      <c r="I701" s="50"/>
      <c r="J701" s="50"/>
      <c r="K701" s="50"/>
      <c r="L701" s="50"/>
      <c r="M701" s="50"/>
      <c r="N701" s="50"/>
      <c r="O701" s="50"/>
      <c r="P701" s="50"/>
      <c r="Q701" s="50"/>
      <c r="R701" s="50"/>
      <c r="S701" s="50"/>
      <c r="T701" s="50"/>
      <c r="U701" s="50"/>
      <c r="V701" s="50"/>
      <c r="W701" s="50"/>
      <c r="X701" s="50"/>
      <c r="Y701" s="50"/>
      <c r="Z701" s="50"/>
      <c r="AA701" s="50"/>
      <c r="AB701" s="50"/>
      <c r="AC701" s="50"/>
    </row>
    <row r="702">
      <c r="A702" s="48" t="s">
        <v>3585</v>
      </c>
      <c r="B702" s="49" t="s">
        <v>3634</v>
      </c>
      <c r="C702" s="48" t="s">
        <v>3635</v>
      </c>
      <c r="D702" s="50" t="str">
        <f>IFERROR(__xludf.DUMMYFUNCTION("""COMPUTED_VALUE"""),"Pépinière Et Jardins De Bambous Tropicaux")</f>
        <v>Pépinière Et Jardins De Bambous Tropicaux</v>
      </c>
      <c r="E702" s="50"/>
      <c r="F702" s="50" t="s">
        <v>3635</v>
      </c>
      <c r="G702" s="50" t="s">
        <v>3635</v>
      </c>
      <c r="H702" s="50" t="s">
        <v>1710</v>
      </c>
      <c r="I702" s="50"/>
      <c r="J702" s="50"/>
      <c r="K702" s="50"/>
      <c r="L702" s="50"/>
      <c r="M702" s="50"/>
      <c r="N702" s="50"/>
      <c r="O702" s="50"/>
      <c r="P702" s="50"/>
      <c r="Q702" s="50"/>
      <c r="R702" s="50"/>
      <c r="S702" s="50"/>
      <c r="T702" s="50"/>
      <c r="U702" s="50"/>
      <c r="V702" s="50"/>
      <c r="W702" s="50"/>
      <c r="X702" s="50"/>
      <c r="Y702" s="50"/>
      <c r="Z702" s="50"/>
      <c r="AA702" s="50"/>
      <c r="AB702" s="50"/>
      <c r="AC702" s="50"/>
    </row>
    <row r="703">
      <c r="A703" s="48" t="s">
        <v>3585</v>
      </c>
      <c r="B703" s="49" t="s">
        <v>3636</v>
      </c>
      <c r="C703" s="48" t="s">
        <v>3637</v>
      </c>
      <c r="D703" s="50" t="str">
        <f>IFERROR(__xludf.DUMMYFUNCTION("""COMPUTED_VALUE"""),"Toptropicals")</f>
        <v>Toptropicals</v>
      </c>
      <c r="E703" s="50"/>
      <c r="F703" s="50" t="s">
        <v>3637</v>
      </c>
      <c r="G703" s="50" t="s">
        <v>3637</v>
      </c>
      <c r="H703" s="50" t="s">
        <v>1710</v>
      </c>
      <c r="I703" s="50"/>
      <c r="J703" s="50"/>
      <c r="K703" s="50"/>
      <c r="L703" s="50"/>
      <c r="M703" s="50"/>
      <c r="N703" s="50"/>
      <c r="O703" s="50"/>
      <c r="P703" s="50"/>
      <c r="Q703" s="50"/>
      <c r="R703" s="50"/>
      <c r="S703" s="50"/>
      <c r="T703" s="50"/>
      <c r="U703" s="50"/>
      <c r="V703" s="50"/>
      <c r="W703" s="50"/>
      <c r="X703" s="50"/>
      <c r="Y703" s="50"/>
      <c r="Z703" s="50"/>
      <c r="AA703" s="50"/>
      <c r="AB703" s="50"/>
      <c r="AC703" s="50"/>
    </row>
    <row r="704">
      <c r="A704" s="48" t="s">
        <v>3585</v>
      </c>
      <c r="B704" s="49" t="s">
        <v>3638</v>
      </c>
      <c r="C704" s="48" t="s">
        <v>3639</v>
      </c>
      <c r="D704" s="50" t="str">
        <f>IFERROR(__xludf.DUMMYFUNCTION("""COMPUTED_VALUE"""),"Trec")</f>
        <v>Trec</v>
      </c>
      <c r="E704" s="50"/>
      <c r="F704" s="50" t="s">
        <v>3639</v>
      </c>
      <c r="G704" s="50" t="s">
        <v>3639</v>
      </c>
      <c r="H704" s="50" t="s">
        <v>1710</v>
      </c>
      <c r="I704" s="50"/>
      <c r="J704" s="50"/>
      <c r="K704" s="50"/>
      <c r="L704" s="50"/>
      <c r="M704" s="50"/>
      <c r="N704" s="50"/>
      <c r="O704" s="50"/>
      <c r="P704" s="50"/>
      <c r="Q704" s="50"/>
      <c r="R704" s="50"/>
      <c r="S704" s="50"/>
      <c r="T704" s="50"/>
      <c r="U704" s="50"/>
      <c r="V704" s="50"/>
      <c r="W704" s="50"/>
      <c r="X704" s="50"/>
      <c r="Y704" s="50"/>
      <c r="Z704" s="50"/>
      <c r="AA704" s="50"/>
      <c r="AB704" s="50"/>
      <c r="AC704" s="50"/>
    </row>
    <row r="705">
      <c r="A705" s="48" t="s">
        <v>3585</v>
      </c>
      <c r="B705" s="49" t="s">
        <v>3640</v>
      </c>
      <c r="C705" s="48" t="s">
        <v>3641</v>
      </c>
      <c r="D705" s="50" t="str">
        <f>IFERROR(__xludf.DUMMYFUNCTION("""COMPUTED_VALUE"""),"Le Monde De Xain")</f>
        <v>Le Monde De Xain</v>
      </c>
      <c r="E705" s="50"/>
      <c r="F705" s="50" t="s">
        <v>3641</v>
      </c>
      <c r="G705" s="50" t="s">
        <v>3641</v>
      </c>
      <c r="H705" s="50" t="s">
        <v>1710</v>
      </c>
      <c r="I705" s="50"/>
      <c r="J705" s="50"/>
      <c r="K705" s="50"/>
      <c r="L705" s="50"/>
      <c r="M705" s="50"/>
      <c r="N705" s="50"/>
      <c r="O705" s="50"/>
      <c r="P705" s="50"/>
      <c r="Q705" s="50"/>
      <c r="R705" s="50"/>
      <c r="S705" s="50"/>
      <c r="T705" s="50"/>
      <c r="U705" s="50"/>
      <c r="V705" s="50"/>
      <c r="W705" s="50"/>
      <c r="X705" s="50"/>
      <c r="Y705" s="50"/>
      <c r="Z705" s="50"/>
      <c r="AA705" s="50"/>
      <c r="AB705" s="50"/>
      <c r="AC705" s="50"/>
    </row>
    <row r="706">
      <c r="A706" s="48" t="s">
        <v>3585</v>
      </c>
      <c r="B706" s="49" t="s">
        <v>3642</v>
      </c>
      <c r="C706" s="48" t="s">
        <v>3643</v>
      </c>
      <c r="D706" s="50" t="str">
        <f>IFERROR(__xludf.DUMMYFUNCTION("""COMPUTED_VALUE"""),"Loxahatree")</f>
        <v>Loxahatree</v>
      </c>
      <c r="E706" s="50"/>
      <c r="F706" s="50" t="s">
        <v>3643</v>
      </c>
      <c r="G706" s="50" t="s">
        <v>3643</v>
      </c>
      <c r="H706" s="50" t="s">
        <v>1710</v>
      </c>
      <c r="I706" s="50"/>
      <c r="J706" s="50"/>
      <c r="K706" s="50"/>
      <c r="L706" s="50"/>
      <c r="M706" s="50"/>
      <c r="N706" s="50"/>
      <c r="O706" s="50"/>
      <c r="P706" s="50"/>
      <c r="Q706" s="50"/>
      <c r="R706" s="50"/>
      <c r="S706" s="50"/>
      <c r="T706" s="50"/>
      <c r="U706" s="50"/>
      <c r="V706" s="50"/>
      <c r="W706" s="50"/>
      <c r="X706" s="50"/>
      <c r="Y706" s="50"/>
      <c r="Z706" s="50"/>
      <c r="AA706" s="50"/>
      <c r="AB706" s="50"/>
      <c r="AC706" s="50"/>
    </row>
    <row r="707">
      <c r="A707" s="48" t="s">
        <v>3585</v>
      </c>
      <c r="B707" s="49" t="s">
        <v>3644</v>
      </c>
      <c r="C707" s="48" t="s">
        <v>3645</v>
      </c>
      <c r="D707" s="50" t="str">
        <f>IFERROR(__xludf.DUMMYFUNCTION("""COMPUTED_VALUE"""),"Saut")</f>
        <v>Saut</v>
      </c>
      <c r="E707" s="50"/>
      <c r="F707" s="50" t="s">
        <v>3645</v>
      </c>
      <c r="G707" s="50" t="s">
        <v>3645</v>
      </c>
      <c r="H707" s="50" t="s">
        <v>1710</v>
      </c>
      <c r="I707" s="50"/>
      <c r="J707" s="50"/>
      <c r="K707" s="50"/>
      <c r="L707" s="50"/>
      <c r="M707" s="50"/>
      <c r="N707" s="50"/>
      <c r="O707" s="50"/>
      <c r="P707" s="50"/>
      <c r="Q707" s="50"/>
      <c r="R707" s="50"/>
      <c r="S707" s="50"/>
      <c r="T707" s="50"/>
      <c r="U707" s="50"/>
      <c r="V707" s="50"/>
      <c r="W707" s="50"/>
      <c r="X707" s="50"/>
      <c r="Y707" s="50"/>
      <c r="Z707" s="50"/>
      <c r="AA707" s="50"/>
      <c r="AB707" s="50"/>
      <c r="AC707" s="50"/>
    </row>
    <row r="708">
      <c r="A708" s="48" t="s">
        <v>3585</v>
      </c>
      <c r="B708" s="49" t="s">
        <v>3646</v>
      </c>
      <c r="C708" s="48" t="s">
        <v>3647</v>
      </c>
      <c r="D708" s="50" t="str">
        <f>IFERROR(__xludf.DUMMYFUNCTION("""COMPUTED_VALUE"""),"Jimmy Jaboticaba")</f>
        <v>Jimmy Jaboticaba</v>
      </c>
      <c r="E708" s="50"/>
      <c r="F708" s="50" t="s">
        <v>3647</v>
      </c>
      <c r="G708" s="50" t="s">
        <v>3647</v>
      </c>
      <c r="H708" s="50" t="s">
        <v>1710</v>
      </c>
      <c r="I708" s="50"/>
      <c r="J708" s="50"/>
      <c r="K708" s="50"/>
      <c r="L708" s="50"/>
      <c r="M708" s="50"/>
      <c r="N708" s="50"/>
      <c r="O708" s="50"/>
      <c r="P708" s="50"/>
      <c r="Q708" s="50"/>
      <c r="R708" s="50"/>
      <c r="S708" s="50"/>
      <c r="T708" s="50"/>
      <c r="U708" s="50"/>
      <c r="V708" s="50"/>
      <c r="W708" s="50"/>
      <c r="X708" s="50"/>
      <c r="Y708" s="50"/>
      <c r="Z708" s="50"/>
      <c r="AA708" s="50"/>
      <c r="AB708" s="50"/>
      <c r="AC708" s="50"/>
    </row>
    <row r="709">
      <c r="A709" s="48" t="s">
        <v>3585</v>
      </c>
      <c r="B709" s="49" t="s">
        <v>3648</v>
      </c>
      <c r="C709" s="48" t="s">
        <v>3649</v>
      </c>
      <c r="D709" s="50" t="str">
        <f>IFERROR(__xludf.DUMMYFUNCTION("""COMPUTED_VALUE"""),"Jack Et Le Haricot Magique")</f>
        <v>Jack Et Le Haricot Magique</v>
      </c>
      <c r="E709" s="50"/>
      <c r="F709" s="50" t="s">
        <v>3649</v>
      </c>
      <c r="G709" s="50" t="s">
        <v>3649</v>
      </c>
      <c r="H709" s="50" t="s">
        <v>1710</v>
      </c>
      <c r="I709" s="50"/>
      <c r="J709" s="50"/>
      <c r="K709" s="50"/>
      <c r="L709" s="50"/>
      <c r="M709" s="50"/>
      <c r="N709" s="50"/>
      <c r="O709" s="50"/>
      <c r="P709" s="50"/>
      <c r="Q709" s="50"/>
      <c r="R709" s="50"/>
      <c r="S709" s="50"/>
      <c r="T709" s="50"/>
      <c r="U709" s="50"/>
      <c r="V709" s="50"/>
      <c r="W709" s="50"/>
      <c r="X709" s="50"/>
      <c r="Y709" s="50"/>
      <c r="Z709" s="50"/>
      <c r="AA709" s="50"/>
      <c r="AB709" s="50"/>
      <c r="AC709" s="50"/>
    </row>
    <row r="710">
      <c r="A710" s="48" t="s">
        <v>3585</v>
      </c>
      <c r="B710" s="49" t="s">
        <v>3650</v>
      </c>
      <c r="C710" s="48" t="s">
        <v>3651</v>
      </c>
      <c r="D710" s="50" t="str">
        <f>IFERROR(__xludf.DUMMYFUNCTION("""COMPUTED_VALUE"""),"La Pépinière De L'Amour")</f>
        <v>La Pépinière De L'Amour</v>
      </c>
      <c r="E710" s="50"/>
      <c r="F710" s="50"/>
      <c r="G710" s="50"/>
      <c r="H710" s="50" t="s">
        <v>1710</v>
      </c>
      <c r="I710" s="50"/>
      <c r="J710" s="50"/>
      <c r="K710" s="50"/>
      <c r="L710" s="50"/>
      <c r="M710" s="50"/>
      <c r="N710" s="50"/>
      <c r="O710" s="50"/>
      <c r="P710" s="50"/>
      <c r="Q710" s="50"/>
      <c r="R710" s="50"/>
      <c r="S710" s="50"/>
      <c r="T710" s="50"/>
      <c r="U710" s="50"/>
      <c r="V710" s="50"/>
      <c r="W710" s="50"/>
      <c r="X710" s="50"/>
      <c r="Y710" s="50"/>
      <c r="Z710" s="50"/>
      <c r="AA710" s="50"/>
      <c r="AB710" s="50"/>
      <c r="AC710" s="50"/>
    </row>
    <row r="711">
      <c r="A711" s="48" t="s">
        <v>3585</v>
      </c>
      <c r="B711" s="49" t="s">
        <v>3652</v>
      </c>
      <c r="C711" s="48" t="s">
        <v>3653</v>
      </c>
      <c r="D711" s="50" t="str">
        <f>IFERROR(__xludf.DUMMYFUNCTION("""COMPUTED_VALUE"""),"Des Produits Comestibles Incroyables")</f>
        <v>Des Produits Comestibles Incroyables</v>
      </c>
      <c r="E711" s="50"/>
      <c r="F711" s="50"/>
      <c r="G711" s="50"/>
      <c r="H711" s="50" t="s">
        <v>1710</v>
      </c>
      <c r="I711" s="50"/>
      <c r="J711" s="50"/>
      <c r="K711" s="50"/>
      <c r="L711" s="50"/>
      <c r="M711" s="50"/>
      <c r="N711" s="50"/>
      <c r="O711" s="50"/>
      <c r="P711" s="50"/>
      <c r="Q711" s="50"/>
      <c r="R711" s="50"/>
      <c r="S711" s="50"/>
      <c r="T711" s="50"/>
      <c r="U711" s="50"/>
      <c r="V711" s="50"/>
      <c r="W711" s="50"/>
      <c r="X711" s="50"/>
      <c r="Y711" s="50"/>
      <c r="Z711" s="50"/>
      <c r="AA711" s="50"/>
      <c r="AB711" s="50"/>
      <c r="AC711" s="50"/>
    </row>
    <row r="712">
      <c r="A712" s="48"/>
      <c r="B712" s="49"/>
      <c r="C712" s="48"/>
      <c r="D712" s="50" t="str">
        <f>IFERROR(__xludf.DUMMYFUNCTION("""COMPUTED_VALUE"""),"")</f>
        <v/>
      </c>
      <c r="E712" s="50"/>
      <c r="F712" s="50"/>
      <c r="G712" s="50"/>
      <c r="H712" s="50" t="s">
        <v>1710</v>
      </c>
      <c r="I712" s="50"/>
      <c r="J712" s="50"/>
      <c r="K712" s="50"/>
      <c r="L712" s="50"/>
      <c r="M712" s="50"/>
      <c r="N712" s="50"/>
      <c r="O712" s="50"/>
      <c r="P712" s="50"/>
      <c r="Q712" s="50"/>
      <c r="R712" s="50"/>
      <c r="S712" s="50"/>
      <c r="T712" s="50"/>
      <c r="U712" s="50"/>
      <c r="V712" s="50"/>
      <c r="W712" s="50"/>
      <c r="X712" s="50"/>
      <c r="Y712" s="50"/>
      <c r="Z712" s="50"/>
      <c r="AA712" s="50"/>
      <c r="AB712" s="50"/>
      <c r="AC712" s="50"/>
    </row>
    <row r="713">
      <c r="A713" s="48"/>
      <c r="B713" s="49"/>
      <c r="C713" s="48"/>
      <c r="D713" s="50" t="str">
        <f>IFERROR(__xludf.DUMMYFUNCTION("""COMPUTED_VALUE"""),"")</f>
        <v/>
      </c>
      <c r="E713" s="50"/>
      <c r="F713" s="50"/>
      <c r="G713" s="50"/>
      <c r="H713" s="50" t="s">
        <v>1710</v>
      </c>
      <c r="I713" s="50"/>
      <c r="J713" s="50"/>
      <c r="K713" s="50"/>
      <c r="L713" s="50"/>
      <c r="M713" s="50"/>
      <c r="N713" s="50"/>
      <c r="O713" s="50"/>
      <c r="P713" s="50"/>
      <c r="Q713" s="50"/>
      <c r="R713" s="50"/>
      <c r="S713" s="50"/>
      <c r="T713" s="50"/>
      <c r="U713" s="50"/>
      <c r="V713" s="50"/>
      <c r="W713" s="50"/>
      <c r="X713" s="50"/>
      <c r="Y713" s="50"/>
      <c r="Z713" s="50"/>
      <c r="AA713" s="50"/>
      <c r="AB713" s="50"/>
      <c r="AC713" s="50"/>
    </row>
    <row r="714">
      <c r="A714" s="48" t="s">
        <v>1701</v>
      </c>
      <c r="B714" s="49" t="s">
        <v>3654</v>
      </c>
      <c r="C714" s="48" t="s">
        <v>3655</v>
      </c>
      <c r="D714" s="50" t="str">
        <f>IFERROR(__xludf.DUMMYFUNCTION("""COMPUTED_VALUE"""),"Importer")</f>
        <v>Importer</v>
      </c>
      <c r="E714" s="50"/>
      <c r="F714" s="50" t="s">
        <v>3655</v>
      </c>
      <c r="G714" s="50" t="s">
        <v>3655</v>
      </c>
      <c r="H714" s="50" t="s">
        <v>1710</v>
      </c>
      <c r="I714" s="50"/>
      <c r="J714" s="50"/>
      <c r="K714" s="50"/>
      <c r="L714" s="50"/>
      <c r="M714" s="50"/>
      <c r="N714" s="50"/>
      <c r="O714" s="50"/>
      <c r="P714" s="50"/>
      <c r="Q714" s="50"/>
      <c r="R714" s="50"/>
      <c r="S714" s="50"/>
      <c r="T714" s="50"/>
      <c r="U714" s="50"/>
      <c r="V714" s="50"/>
      <c r="W714" s="50"/>
      <c r="X714" s="50"/>
      <c r="Y714" s="50"/>
      <c r="Z714" s="50"/>
      <c r="AA714" s="50"/>
      <c r="AB714" s="50"/>
      <c r="AC714" s="50"/>
    </row>
    <row r="715">
      <c r="A715" s="48" t="s">
        <v>1701</v>
      </c>
      <c r="B715" s="49" t="s">
        <v>3656</v>
      </c>
      <c r="C715" s="48" t="s">
        <v>3657</v>
      </c>
      <c r="D715" s="50" t="str">
        <f>IFERROR(__xludf.DUMMYFUNCTION("""COMPUTED_VALUE"""),"Transplanter")</f>
        <v>Transplanter</v>
      </c>
      <c r="E715" s="50"/>
      <c r="F715" s="50" t="s">
        <v>3658</v>
      </c>
      <c r="G715" s="50" t="s">
        <v>3658</v>
      </c>
      <c r="H715" s="50" t="s">
        <v>1710</v>
      </c>
      <c r="I715" s="50"/>
      <c r="J715" s="50"/>
      <c r="K715" s="50"/>
      <c r="L715" s="50"/>
      <c r="M715" s="50"/>
      <c r="N715" s="50"/>
      <c r="O715" s="50"/>
      <c r="P715" s="50"/>
      <c r="Q715" s="50"/>
      <c r="R715" s="50"/>
      <c r="S715" s="50"/>
      <c r="T715" s="50"/>
      <c r="U715" s="50"/>
      <c r="V715" s="50"/>
      <c r="W715" s="50"/>
      <c r="X715" s="50"/>
      <c r="Y715" s="50"/>
      <c r="Z715" s="50"/>
      <c r="AA715" s="50"/>
      <c r="AB715" s="50"/>
      <c r="AC715" s="50"/>
    </row>
    <row r="716">
      <c r="A716" s="48" t="s">
        <v>1701</v>
      </c>
      <c r="B716" s="49" t="s">
        <v>3659</v>
      </c>
      <c r="C716" s="48" t="s">
        <v>3660</v>
      </c>
      <c r="D716" s="50" t="str">
        <f>IFERROR(__xludf.DUMMYFUNCTION("""COMPUTED_VALUE"""),"Exporter")</f>
        <v>Exporter</v>
      </c>
      <c r="E716" s="50"/>
      <c r="F716" s="50" t="s">
        <v>3660</v>
      </c>
      <c r="G716" s="50" t="s">
        <v>3660</v>
      </c>
      <c r="H716" s="50" t="s">
        <v>1710</v>
      </c>
      <c r="I716" s="50"/>
      <c r="J716" s="50"/>
      <c r="K716" s="50"/>
      <c r="L716" s="50"/>
      <c r="M716" s="50"/>
      <c r="N716" s="50"/>
      <c r="O716" s="50"/>
      <c r="P716" s="50"/>
      <c r="Q716" s="50"/>
      <c r="R716" s="50"/>
      <c r="S716" s="50"/>
      <c r="T716" s="50"/>
      <c r="U716" s="50"/>
      <c r="V716" s="50"/>
      <c r="W716" s="50"/>
      <c r="X716" s="50"/>
      <c r="Y716" s="50"/>
      <c r="Z716" s="50"/>
      <c r="AA716" s="50"/>
      <c r="AB716" s="50"/>
      <c r="AC716" s="50"/>
    </row>
    <row r="717">
      <c r="A717" s="48"/>
      <c r="B717" s="49"/>
      <c r="C717" s="48"/>
      <c r="D717" s="50" t="str">
        <f>IFERROR(__xludf.DUMMYFUNCTION("""COMPUTED_VALUE"""),"")</f>
        <v/>
      </c>
      <c r="E717" s="50"/>
      <c r="F717" s="50"/>
      <c r="G717" s="50"/>
      <c r="H717" s="50" t="s">
        <v>1710</v>
      </c>
      <c r="I717" s="50"/>
      <c r="J717" s="50"/>
      <c r="K717" s="50"/>
      <c r="L717" s="50"/>
      <c r="M717" s="50"/>
      <c r="N717" s="50"/>
      <c r="O717" s="50"/>
      <c r="P717" s="50"/>
      <c r="Q717" s="50"/>
      <c r="R717" s="50"/>
      <c r="S717" s="50"/>
      <c r="T717" s="50"/>
      <c r="U717" s="50"/>
      <c r="V717" s="50"/>
      <c r="W717" s="50"/>
      <c r="X717" s="50"/>
      <c r="Y717" s="50"/>
      <c r="Z717" s="50"/>
      <c r="AA717" s="50"/>
      <c r="AB717" s="50"/>
      <c r="AC717" s="50"/>
    </row>
    <row r="718">
      <c r="A718" s="48" t="s">
        <v>1702</v>
      </c>
      <c r="B718" s="49" t="s">
        <v>3661</v>
      </c>
      <c r="C718" s="48" t="s">
        <v>1882</v>
      </c>
      <c r="D718" s="50" t="str">
        <f>IFERROR(__xludf.DUMMYFUNCTION("""COMPUTED_VALUE"""),"Graine")</f>
        <v>Graine</v>
      </c>
      <c r="E718" s="50"/>
      <c r="F718" s="50"/>
      <c r="G718" s="50"/>
      <c r="H718" s="50" t="s">
        <v>1710</v>
      </c>
      <c r="I718" s="50"/>
      <c r="J718" s="50"/>
      <c r="K718" s="50" t="s">
        <v>3654</v>
      </c>
      <c r="L718" s="50"/>
      <c r="M718" s="50"/>
      <c r="N718" s="50"/>
      <c r="O718" s="50"/>
      <c r="P718" s="50"/>
      <c r="Q718" s="50"/>
      <c r="R718" s="50"/>
      <c r="S718" s="50"/>
      <c r="T718" s="50"/>
      <c r="U718" s="50"/>
      <c r="V718" s="50"/>
      <c r="W718" s="50"/>
      <c r="X718" s="50"/>
      <c r="Y718" s="50"/>
      <c r="Z718" s="50"/>
      <c r="AA718" s="50"/>
      <c r="AB718" s="50"/>
      <c r="AC718" s="50"/>
    </row>
    <row r="719">
      <c r="A719" s="48" t="s">
        <v>1702</v>
      </c>
      <c r="B719" s="49" t="s">
        <v>3662</v>
      </c>
      <c r="C719" s="48" t="s">
        <v>3663</v>
      </c>
      <c r="D719" s="50" t="str">
        <f>IFERROR(__xludf.DUMMYFUNCTION("""COMPUTED_VALUE"""),"Usine")</f>
        <v>Usine</v>
      </c>
      <c r="E719" s="50"/>
      <c r="F719" s="50"/>
      <c r="G719" s="50"/>
      <c r="H719" s="50" t="s">
        <v>1710</v>
      </c>
      <c r="I719" s="50"/>
      <c r="J719" s="50"/>
      <c r="K719" s="50" t="s">
        <v>3654</v>
      </c>
      <c r="L719" s="50"/>
      <c r="M719" s="50"/>
      <c r="N719" s="50"/>
      <c r="O719" s="50"/>
      <c r="P719" s="50"/>
      <c r="Q719" s="50"/>
      <c r="R719" s="50"/>
      <c r="S719" s="50"/>
      <c r="T719" s="50"/>
      <c r="U719" s="50"/>
      <c r="V719" s="50"/>
      <c r="W719" s="50"/>
      <c r="X719" s="50"/>
      <c r="Y719" s="50"/>
      <c r="Z719" s="50"/>
      <c r="AA719" s="50"/>
      <c r="AB719" s="50"/>
      <c r="AC719" s="50"/>
    </row>
    <row r="720">
      <c r="A720" s="48" t="s">
        <v>1702</v>
      </c>
      <c r="B720" s="49" t="s">
        <v>3664</v>
      </c>
      <c r="C720" s="48" t="s">
        <v>1842</v>
      </c>
      <c r="D720" s="50" t="str">
        <f>IFERROR(__xludf.DUMMYFUNCTION("""COMPUTED_VALUE"""),"Arbre")</f>
        <v>Arbre</v>
      </c>
      <c r="E720" s="50"/>
      <c r="F720" s="50"/>
      <c r="G720" s="50"/>
      <c r="H720" s="50" t="s">
        <v>1710</v>
      </c>
      <c r="I720" s="50"/>
      <c r="J720" s="50"/>
      <c r="K720" s="50" t="s">
        <v>3654</v>
      </c>
      <c r="L720" s="50"/>
      <c r="M720" s="50"/>
      <c r="N720" s="50"/>
      <c r="O720" s="50"/>
      <c r="P720" s="50"/>
      <c r="Q720" s="50"/>
      <c r="R720" s="50"/>
      <c r="S720" s="50"/>
      <c r="T720" s="50"/>
      <c r="U720" s="50"/>
      <c r="V720" s="50"/>
      <c r="W720" s="50"/>
      <c r="X720" s="50"/>
      <c r="Y720" s="50"/>
      <c r="Z720" s="50"/>
      <c r="AA720" s="50"/>
      <c r="AB720" s="50"/>
      <c r="AC720" s="50"/>
    </row>
    <row r="721">
      <c r="A721" s="48" t="s">
        <v>1702</v>
      </c>
      <c r="B721" s="49" t="s">
        <v>3665</v>
      </c>
      <c r="C721" s="48" t="s">
        <v>1871</v>
      </c>
      <c r="D721" s="50" t="str">
        <f>IFERROR(__xludf.DUMMYFUNCTION("""COMPUTED_VALUE"""),"Coupe")</f>
        <v>Coupe</v>
      </c>
      <c r="E721" s="50"/>
      <c r="F721" s="50"/>
      <c r="G721" s="50"/>
      <c r="H721" s="50" t="s">
        <v>1710</v>
      </c>
      <c r="I721" s="50"/>
      <c r="J721" s="50"/>
      <c r="K721" s="50" t="s">
        <v>3654</v>
      </c>
      <c r="L721" s="50"/>
      <c r="M721" s="50"/>
      <c r="N721" s="50"/>
      <c r="O721" s="50"/>
      <c r="P721" s="50"/>
      <c r="Q721" s="50"/>
      <c r="R721" s="50"/>
      <c r="S721" s="50"/>
      <c r="T721" s="50"/>
      <c r="U721" s="50"/>
      <c r="V721" s="50"/>
      <c r="W721" s="50"/>
      <c r="X721" s="50"/>
      <c r="Y721" s="50"/>
      <c r="Z721" s="50"/>
      <c r="AA721" s="50"/>
      <c r="AB721" s="50"/>
      <c r="AC721" s="50"/>
    </row>
    <row r="722">
      <c r="A722" s="48" t="s">
        <v>1702</v>
      </c>
      <c r="B722" s="49" t="s">
        <v>3666</v>
      </c>
      <c r="C722" s="48" t="s">
        <v>3667</v>
      </c>
      <c r="D722" s="50" t="str">
        <f>IFERROR(__xludf.DUMMYFUNCTION("""COMPUTED_VALUE"""),"Scion")</f>
        <v>Scion</v>
      </c>
      <c r="E722" s="50"/>
      <c r="F722" s="50"/>
      <c r="G722" s="50"/>
      <c r="H722" s="50" t="s">
        <v>1710</v>
      </c>
      <c r="I722" s="50"/>
      <c r="J722" s="50"/>
      <c r="K722" s="50" t="s">
        <v>3654</v>
      </c>
      <c r="L722" s="50"/>
      <c r="M722" s="50"/>
      <c r="N722" s="50"/>
      <c r="O722" s="50"/>
      <c r="P722" s="50"/>
      <c r="Q722" s="50"/>
      <c r="R722" s="50"/>
      <c r="S722" s="50"/>
      <c r="T722" s="50"/>
      <c r="U722" s="50"/>
      <c r="V722" s="50"/>
      <c r="W722" s="50"/>
      <c r="X722" s="50"/>
      <c r="Y722" s="50"/>
      <c r="Z722" s="50"/>
      <c r="AA722" s="50"/>
      <c r="AB722" s="50"/>
      <c r="AC722" s="50"/>
    </row>
    <row r="723">
      <c r="A723" s="48" t="s">
        <v>1702</v>
      </c>
      <c r="B723" s="49" t="s">
        <v>3668</v>
      </c>
      <c r="C723" s="48" t="s">
        <v>3669</v>
      </c>
      <c r="D723" s="50" t="str">
        <f>IFERROR(__xludf.DUMMYFUNCTION("""COMPUTED_VALUE"""),"50 Cellules")</f>
        <v>50 Cellules</v>
      </c>
      <c r="E723" s="50"/>
      <c r="F723" s="50"/>
      <c r="G723" s="50"/>
      <c r="H723" s="50" t="s">
        <v>1710</v>
      </c>
      <c r="I723" s="50"/>
      <c r="J723" s="50"/>
      <c r="K723" s="50" t="s">
        <v>3656</v>
      </c>
      <c r="L723" s="50"/>
      <c r="M723" s="50"/>
      <c r="N723" s="50"/>
      <c r="O723" s="50"/>
      <c r="P723" s="50"/>
      <c r="Q723" s="50"/>
      <c r="R723" s="50"/>
      <c r="S723" s="50"/>
      <c r="T723" s="50"/>
      <c r="U723" s="50"/>
      <c r="V723" s="50"/>
      <c r="W723" s="50"/>
      <c r="X723" s="50"/>
      <c r="Y723" s="50"/>
      <c r="Z723" s="50"/>
      <c r="AA723" s="50"/>
      <c r="AB723" s="50"/>
      <c r="AC723" s="50"/>
    </row>
    <row r="724">
      <c r="A724" s="48" t="s">
        <v>1702</v>
      </c>
      <c r="B724" s="49" t="s">
        <v>3670</v>
      </c>
      <c r="C724" s="48" t="s">
        <v>3671</v>
      </c>
      <c r="D724" s="50" t="str">
        <f>IFERROR(__xludf.DUMMYFUNCTION("""COMPUTED_VALUE"""),"72 Cellules")</f>
        <v>72 Cellules</v>
      </c>
      <c r="E724" s="50"/>
      <c r="F724" s="50"/>
      <c r="G724" s="50"/>
      <c r="H724" s="50" t="s">
        <v>1710</v>
      </c>
      <c r="I724" s="50"/>
      <c r="J724" s="50"/>
      <c r="K724" s="50" t="s">
        <v>3656</v>
      </c>
      <c r="L724" s="50"/>
      <c r="M724" s="50"/>
      <c r="N724" s="50"/>
      <c r="O724" s="50"/>
      <c r="P724" s="50"/>
      <c r="Q724" s="50"/>
      <c r="R724" s="50"/>
      <c r="S724" s="50"/>
      <c r="T724" s="50"/>
      <c r="U724" s="50"/>
      <c r="V724" s="50"/>
      <c r="W724" s="50"/>
      <c r="X724" s="50"/>
      <c r="Y724" s="50"/>
      <c r="Z724" s="50"/>
      <c r="AA724" s="50"/>
      <c r="AB724" s="50"/>
      <c r="AC724" s="50"/>
    </row>
    <row r="725">
      <c r="A725" s="48" t="s">
        <v>1702</v>
      </c>
      <c r="B725" s="49" t="s">
        <v>3672</v>
      </c>
      <c r="C725" s="48" t="s">
        <v>3673</v>
      </c>
      <c r="D725" s="50" t="str">
        <f>IFERROR(__xludf.DUMMYFUNCTION("""COMPUTED_VALUE"""),"128 Cellules")</f>
        <v>128 Cellules</v>
      </c>
      <c r="E725" s="50"/>
      <c r="F725" s="50"/>
      <c r="G725" s="50"/>
      <c r="H725" s="50" t="s">
        <v>1710</v>
      </c>
      <c r="I725" s="50"/>
      <c r="J725" s="50"/>
      <c r="K725" s="50" t="s">
        <v>3656</v>
      </c>
      <c r="L725" s="50"/>
      <c r="M725" s="50"/>
      <c r="N725" s="50"/>
      <c r="O725" s="50"/>
      <c r="P725" s="50"/>
      <c r="Q725" s="50"/>
      <c r="R725" s="50"/>
      <c r="S725" s="50"/>
      <c r="T725" s="50"/>
      <c r="U725" s="50"/>
      <c r="V725" s="50"/>
      <c r="W725" s="50"/>
      <c r="X725" s="50"/>
      <c r="Y725" s="50"/>
      <c r="Z725" s="50"/>
      <c r="AA725" s="50"/>
      <c r="AB725" s="50"/>
      <c r="AC725" s="50"/>
    </row>
    <row r="726">
      <c r="A726" s="48" t="s">
        <v>1702</v>
      </c>
      <c r="B726" s="49" t="s">
        <v>3674</v>
      </c>
      <c r="C726" s="48" t="s">
        <v>3675</v>
      </c>
      <c r="D726" s="50" t="str">
        <f>IFERROR(__xludf.DUMMYFUNCTION("""COMPUTED_VALUE"""),"Sachet")</f>
        <v>Sachet</v>
      </c>
      <c r="E726" s="50"/>
      <c r="F726" s="50"/>
      <c r="G726" s="50"/>
      <c r="H726" s="50" t="s">
        <v>1710</v>
      </c>
      <c r="I726" s="50"/>
      <c r="J726" s="50"/>
      <c r="K726" s="50" t="s">
        <v>3656</v>
      </c>
      <c r="L726" s="50"/>
      <c r="M726" s="50"/>
      <c r="N726" s="50"/>
      <c r="O726" s="50"/>
      <c r="P726" s="50"/>
      <c r="Q726" s="50"/>
      <c r="R726" s="50"/>
      <c r="S726" s="50"/>
      <c r="T726" s="50"/>
      <c r="U726" s="50"/>
      <c r="V726" s="50"/>
      <c r="W726" s="50"/>
      <c r="X726" s="50"/>
      <c r="Y726" s="50"/>
      <c r="Z726" s="50"/>
      <c r="AA726" s="50"/>
      <c r="AB726" s="50"/>
      <c r="AC726" s="50"/>
    </row>
    <row r="727">
      <c r="A727" s="48" t="s">
        <v>1702</v>
      </c>
      <c r="B727" s="49" t="s">
        <v>3676</v>
      </c>
      <c r="C727" s="48" t="s">
        <v>3677</v>
      </c>
      <c r="D727" s="50" t="str">
        <f>IFERROR(__xludf.DUMMYFUNCTION("""COMPUTED_VALUE"""),"Sac Long")</f>
        <v>Sac Long</v>
      </c>
      <c r="E727" s="50"/>
      <c r="F727" s="50"/>
      <c r="G727" s="50"/>
      <c r="H727" s="50" t="s">
        <v>1710</v>
      </c>
      <c r="I727" s="50"/>
      <c r="J727" s="50"/>
      <c r="K727" s="50" t="s">
        <v>3656</v>
      </c>
      <c r="L727" s="50"/>
      <c r="M727" s="50"/>
      <c r="N727" s="50"/>
      <c r="O727" s="50"/>
      <c r="P727" s="50"/>
      <c r="Q727" s="50"/>
      <c r="R727" s="50"/>
      <c r="S727" s="50"/>
      <c r="T727" s="50"/>
      <c r="U727" s="50"/>
      <c r="V727" s="50"/>
      <c r="W727" s="50"/>
      <c r="X727" s="50"/>
      <c r="Y727" s="50"/>
      <c r="Z727" s="50"/>
      <c r="AA727" s="50"/>
      <c r="AB727" s="50"/>
      <c r="AC727" s="50"/>
    </row>
    <row r="728">
      <c r="A728" s="48" t="s">
        <v>1702</v>
      </c>
      <c r="B728" s="49" t="s">
        <v>3678</v>
      </c>
      <c r="C728" s="48" t="s">
        <v>3679</v>
      </c>
      <c r="D728" s="50" t="str">
        <f>IFERROR(__xludf.DUMMYFUNCTION("""COMPUTED_VALUE"""),"Grand Sac")</f>
        <v>Grand Sac</v>
      </c>
      <c r="E728" s="50"/>
      <c r="F728" s="50"/>
      <c r="G728" s="50"/>
      <c r="H728" s="50" t="s">
        <v>1710</v>
      </c>
      <c r="I728" s="50"/>
      <c r="J728" s="50"/>
      <c r="K728" s="50" t="s">
        <v>3656</v>
      </c>
      <c r="L728" s="50"/>
      <c r="M728" s="50"/>
      <c r="N728" s="50"/>
      <c r="O728" s="50"/>
      <c r="P728" s="50"/>
      <c r="Q728" s="50"/>
      <c r="R728" s="50"/>
      <c r="S728" s="50"/>
      <c r="T728" s="50"/>
      <c r="U728" s="50"/>
      <c r="V728" s="50"/>
      <c r="W728" s="50"/>
      <c r="X728" s="50"/>
      <c r="Y728" s="50"/>
      <c r="Z728" s="50"/>
      <c r="AA728" s="50"/>
      <c r="AB728" s="50"/>
      <c r="AC728" s="50"/>
    </row>
    <row r="729">
      <c r="A729" s="48" t="s">
        <v>1702</v>
      </c>
      <c r="B729" s="49" t="s">
        <v>3680</v>
      </c>
      <c r="C729" s="48" t="s">
        <v>15</v>
      </c>
      <c r="D729" s="50" t="str">
        <f>IFERROR(__xludf.DUMMYFUNCTION("""COMPUTED_VALUE"""),"Seau De 10 L")</f>
        <v>Seau De 10 L</v>
      </c>
      <c r="E729" s="50"/>
      <c r="F729" s="50"/>
      <c r="G729" s="50"/>
      <c r="H729" s="50" t="s">
        <v>1710</v>
      </c>
      <c r="I729" s="50"/>
      <c r="J729" s="50"/>
      <c r="K729" s="50" t="s">
        <v>3656</v>
      </c>
      <c r="L729" s="50"/>
      <c r="M729" s="50"/>
      <c r="N729" s="50"/>
      <c r="O729" s="50"/>
      <c r="P729" s="50"/>
      <c r="Q729" s="50"/>
      <c r="R729" s="50"/>
      <c r="S729" s="50"/>
      <c r="T729" s="50"/>
      <c r="U729" s="50"/>
      <c r="V729" s="50"/>
      <c r="W729" s="50"/>
      <c r="X729" s="50"/>
      <c r="Y729" s="50"/>
      <c r="Z729" s="50"/>
      <c r="AA729" s="50"/>
      <c r="AB729" s="50"/>
      <c r="AC729" s="50"/>
    </row>
    <row r="730">
      <c r="A730" s="48" t="s">
        <v>1702</v>
      </c>
      <c r="B730" s="49" t="s">
        <v>3681</v>
      </c>
      <c r="C730" s="48" t="s">
        <v>18</v>
      </c>
      <c r="D730" s="50" t="str">
        <f>IFERROR(__xludf.DUMMYFUNCTION("""COMPUTED_VALUE"""),"Seau De 25 L")</f>
        <v>Seau De 25 L</v>
      </c>
      <c r="E730" s="50"/>
      <c r="F730" s="50"/>
      <c r="G730" s="50"/>
      <c r="H730" s="50" t="s">
        <v>1710</v>
      </c>
      <c r="I730" s="50"/>
      <c r="J730" s="50"/>
      <c r="K730" s="50" t="s">
        <v>3656</v>
      </c>
      <c r="L730" s="50"/>
      <c r="M730" s="50"/>
      <c r="N730" s="50"/>
      <c r="O730" s="50"/>
      <c r="P730" s="50"/>
      <c r="Q730" s="50"/>
      <c r="R730" s="50"/>
      <c r="S730" s="50"/>
      <c r="T730" s="50"/>
      <c r="U730" s="50"/>
      <c r="V730" s="50"/>
      <c r="W730" s="50"/>
      <c r="X730" s="50"/>
      <c r="Y730" s="50"/>
      <c r="Z730" s="50"/>
      <c r="AA730" s="50"/>
      <c r="AB730" s="50"/>
      <c r="AC730" s="50"/>
    </row>
    <row r="731">
      <c r="A731" s="48" t="s">
        <v>1702</v>
      </c>
      <c r="B731" s="49" t="s">
        <v>3682</v>
      </c>
      <c r="C731" s="48" t="s">
        <v>3683</v>
      </c>
      <c r="D731" s="50" t="str">
        <f>IFERROR(__xludf.DUMMYFUNCTION("""COMPUTED_VALUE"""),"Sac Coyah")</f>
        <v>Sac Coyah</v>
      </c>
      <c r="E731" s="50"/>
      <c r="F731" s="50"/>
      <c r="G731" s="50"/>
      <c r="H731" s="50" t="s">
        <v>1710</v>
      </c>
      <c r="I731" s="50"/>
      <c r="J731" s="50"/>
      <c r="K731" s="50" t="s">
        <v>3656</v>
      </c>
      <c r="L731" s="50"/>
      <c r="M731" s="50"/>
      <c r="N731" s="50"/>
      <c r="O731" s="50"/>
      <c r="P731" s="50"/>
      <c r="Q731" s="50"/>
      <c r="R731" s="50"/>
      <c r="S731" s="50"/>
      <c r="T731" s="50"/>
      <c r="U731" s="50"/>
      <c r="V731" s="50"/>
      <c r="W731" s="50"/>
      <c r="X731" s="50"/>
      <c r="Y731" s="50"/>
      <c r="Z731" s="50"/>
      <c r="AA731" s="50"/>
      <c r="AB731" s="50"/>
      <c r="AC731" s="50"/>
    </row>
    <row r="732">
      <c r="A732" s="48" t="s">
        <v>1702</v>
      </c>
      <c r="B732" s="49" t="s">
        <v>3684</v>
      </c>
      <c r="C732" s="48" t="s">
        <v>3675</v>
      </c>
      <c r="D732" s="50" t="str">
        <f>IFERROR(__xludf.DUMMYFUNCTION("""COMPUTED_VALUE"""),"Sachet")</f>
        <v>Sachet</v>
      </c>
      <c r="E732" s="50"/>
      <c r="F732" s="50"/>
      <c r="G732" s="50"/>
      <c r="H732" s="50" t="s">
        <v>1710</v>
      </c>
      <c r="I732" s="50"/>
      <c r="J732" s="50"/>
      <c r="K732" s="50" t="s">
        <v>3659</v>
      </c>
      <c r="L732" s="50"/>
      <c r="M732" s="50"/>
      <c r="N732" s="50"/>
      <c r="O732" s="50"/>
      <c r="P732" s="50"/>
      <c r="Q732" s="50"/>
      <c r="R732" s="50"/>
      <c r="S732" s="50"/>
      <c r="T732" s="50"/>
      <c r="U732" s="50"/>
      <c r="V732" s="50"/>
      <c r="W732" s="50"/>
      <c r="X732" s="50"/>
      <c r="Y732" s="50"/>
      <c r="Z732" s="50"/>
      <c r="AA732" s="50"/>
      <c r="AB732" s="50"/>
      <c r="AC732" s="50"/>
    </row>
    <row r="733">
      <c r="A733" s="48" t="s">
        <v>1702</v>
      </c>
      <c r="B733" s="49" t="s">
        <v>3685</v>
      </c>
      <c r="C733" s="48" t="s">
        <v>3677</v>
      </c>
      <c r="D733" s="50" t="str">
        <f>IFERROR(__xludf.DUMMYFUNCTION("""COMPUTED_VALUE"""),"Sac Long")</f>
        <v>Sac Long</v>
      </c>
      <c r="E733" s="50"/>
      <c r="F733" s="50"/>
      <c r="G733" s="50"/>
      <c r="H733" s="50" t="s">
        <v>1710</v>
      </c>
      <c r="I733" s="50"/>
      <c r="J733" s="50"/>
      <c r="K733" s="50" t="s">
        <v>3659</v>
      </c>
      <c r="L733" s="50"/>
      <c r="M733" s="50"/>
      <c r="N733" s="50"/>
      <c r="O733" s="50"/>
      <c r="P733" s="50"/>
      <c r="Q733" s="50"/>
      <c r="R733" s="50"/>
      <c r="S733" s="50"/>
      <c r="T733" s="50"/>
      <c r="U733" s="50"/>
      <c r="V733" s="50"/>
      <c r="W733" s="50"/>
      <c r="X733" s="50"/>
      <c r="Y733" s="50"/>
      <c r="Z733" s="50"/>
      <c r="AA733" s="50"/>
      <c r="AB733" s="50"/>
      <c r="AC733" s="50"/>
    </row>
    <row r="734">
      <c r="A734" s="48" t="s">
        <v>1702</v>
      </c>
      <c r="B734" s="49" t="s">
        <v>3686</v>
      </c>
      <c r="C734" s="48" t="s">
        <v>3679</v>
      </c>
      <c r="D734" s="50" t="str">
        <f>IFERROR(__xludf.DUMMYFUNCTION("""COMPUTED_VALUE"""),"Grand Sac")</f>
        <v>Grand Sac</v>
      </c>
      <c r="E734" s="50"/>
      <c r="F734" s="50"/>
      <c r="G734" s="50"/>
      <c r="H734" s="50" t="s">
        <v>1710</v>
      </c>
      <c r="I734" s="50"/>
      <c r="J734" s="50"/>
      <c r="K734" s="50" t="s">
        <v>3659</v>
      </c>
      <c r="L734" s="50"/>
      <c r="M734" s="50"/>
      <c r="N734" s="50"/>
      <c r="O734" s="50"/>
      <c r="P734" s="50"/>
      <c r="Q734" s="50"/>
      <c r="R734" s="50"/>
      <c r="S734" s="50"/>
      <c r="T734" s="50"/>
      <c r="U734" s="50"/>
      <c r="V734" s="50"/>
      <c r="W734" s="50"/>
      <c r="X734" s="50"/>
      <c r="Y734" s="50"/>
      <c r="Z734" s="50"/>
      <c r="AA734" s="50"/>
      <c r="AB734" s="50"/>
      <c r="AC734" s="50"/>
    </row>
    <row r="735">
      <c r="A735" s="48" t="s">
        <v>1702</v>
      </c>
      <c r="B735" s="49" t="s">
        <v>3687</v>
      </c>
      <c r="C735" s="48" t="s">
        <v>15</v>
      </c>
      <c r="D735" s="50" t="str">
        <f>IFERROR(__xludf.DUMMYFUNCTION("""COMPUTED_VALUE"""),"Seau De 10 L")</f>
        <v>Seau De 10 L</v>
      </c>
      <c r="E735" s="50"/>
      <c r="F735" s="50"/>
      <c r="G735" s="50"/>
      <c r="H735" s="50" t="s">
        <v>1710</v>
      </c>
      <c r="I735" s="50"/>
      <c r="J735" s="50"/>
      <c r="K735" s="50" t="s">
        <v>3659</v>
      </c>
      <c r="L735" s="50"/>
      <c r="M735" s="50"/>
      <c r="N735" s="50"/>
      <c r="O735" s="50"/>
      <c r="P735" s="50"/>
      <c r="Q735" s="50"/>
      <c r="R735" s="50"/>
      <c r="S735" s="50"/>
      <c r="T735" s="50"/>
      <c r="U735" s="50"/>
      <c r="V735" s="50"/>
      <c r="W735" s="50"/>
      <c r="X735" s="50"/>
      <c r="Y735" s="50"/>
      <c r="Z735" s="50"/>
      <c r="AA735" s="50"/>
      <c r="AB735" s="50"/>
      <c r="AC735" s="50"/>
    </row>
    <row r="736">
      <c r="A736" s="48" t="s">
        <v>1702</v>
      </c>
      <c r="B736" s="49" t="s">
        <v>3688</v>
      </c>
      <c r="C736" s="48" t="s">
        <v>18</v>
      </c>
      <c r="D736" s="50" t="str">
        <f>IFERROR(__xludf.DUMMYFUNCTION("""COMPUTED_VALUE"""),"Seau De 25 L")</f>
        <v>Seau De 25 L</v>
      </c>
      <c r="E736" s="50"/>
      <c r="F736" s="50"/>
      <c r="G736" s="50"/>
      <c r="H736" s="50" t="s">
        <v>1710</v>
      </c>
      <c r="I736" s="50"/>
      <c r="J736" s="50"/>
      <c r="K736" s="50" t="s">
        <v>3659</v>
      </c>
      <c r="L736" s="50"/>
      <c r="M736" s="50"/>
      <c r="N736" s="50"/>
      <c r="O736" s="50"/>
      <c r="P736" s="50"/>
      <c r="Q736" s="50"/>
      <c r="R736" s="50"/>
      <c r="S736" s="50"/>
      <c r="T736" s="50"/>
      <c r="U736" s="50"/>
      <c r="V736" s="50"/>
      <c r="W736" s="50"/>
      <c r="X736" s="50"/>
      <c r="Y736" s="50"/>
      <c r="Z736" s="50"/>
      <c r="AA736" s="50"/>
      <c r="AB736" s="50"/>
      <c r="AC736" s="50"/>
    </row>
    <row r="737">
      <c r="A737" s="48" t="s">
        <v>1702</v>
      </c>
      <c r="B737" s="49" t="s">
        <v>3689</v>
      </c>
      <c r="C737" s="48" t="s">
        <v>3683</v>
      </c>
      <c r="D737" s="50" t="str">
        <f>IFERROR(__xludf.DUMMYFUNCTION("""COMPUTED_VALUE"""),"Sac Coyah")</f>
        <v>Sac Coyah</v>
      </c>
      <c r="E737" s="50"/>
      <c r="F737" s="50"/>
      <c r="G737" s="50"/>
      <c r="H737" s="50" t="s">
        <v>1710</v>
      </c>
      <c r="I737" s="50"/>
      <c r="J737" s="50"/>
      <c r="K737" s="50" t="s">
        <v>3659</v>
      </c>
      <c r="L737" s="50"/>
      <c r="M737" s="50"/>
      <c r="N737" s="50"/>
      <c r="O737" s="50"/>
      <c r="P737" s="50"/>
      <c r="Q737" s="50"/>
      <c r="R737" s="50"/>
      <c r="S737" s="50"/>
      <c r="T737" s="50"/>
      <c r="U737" s="50"/>
      <c r="V737" s="50"/>
      <c r="W737" s="50"/>
      <c r="X737" s="50"/>
      <c r="Y737" s="50"/>
      <c r="Z737" s="50"/>
      <c r="AA737" s="50"/>
      <c r="AB737" s="50"/>
      <c r="AC737" s="50"/>
    </row>
    <row r="738">
      <c r="A738" s="48"/>
      <c r="B738" s="49"/>
      <c r="C738" s="48"/>
      <c r="D738" s="50" t="str">
        <f>IFERROR(__xludf.DUMMYFUNCTION("""COMPUTED_VALUE"""),"")</f>
        <v/>
      </c>
      <c r="E738" s="50"/>
      <c r="F738" s="50"/>
      <c r="G738" s="50"/>
      <c r="H738" s="50" t="s">
        <v>1710</v>
      </c>
      <c r="I738" s="50"/>
      <c r="J738" s="50"/>
      <c r="K738" s="50"/>
      <c r="L738" s="50"/>
      <c r="M738" s="50"/>
      <c r="N738" s="50"/>
      <c r="O738" s="50"/>
      <c r="P738" s="50"/>
      <c r="Q738" s="50"/>
      <c r="R738" s="50"/>
      <c r="S738" s="50"/>
      <c r="T738" s="50"/>
      <c r="U738" s="50"/>
      <c r="V738" s="50"/>
      <c r="W738" s="50"/>
      <c r="X738" s="50"/>
      <c r="Y738" s="50"/>
      <c r="Z738" s="50"/>
      <c r="AA738" s="50"/>
      <c r="AB738" s="50"/>
      <c r="AC738" s="50"/>
    </row>
    <row r="739">
      <c r="A739" s="48"/>
      <c r="B739" s="49"/>
      <c r="C739" s="48"/>
      <c r="D739" s="50" t="str">
        <f>IFERROR(__xludf.DUMMYFUNCTION("""COMPUTED_VALUE"""),"")</f>
        <v/>
      </c>
      <c r="E739" s="50"/>
      <c r="F739" s="50"/>
      <c r="G739" s="50"/>
      <c r="H739" s="50" t="s">
        <v>1710</v>
      </c>
      <c r="I739" s="50"/>
      <c r="J739" s="50"/>
      <c r="K739" s="50"/>
      <c r="L739" s="50"/>
      <c r="M739" s="50"/>
      <c r="N739" s="50"/>
      <c r="O739" s="50"/>
      <c r="P739" s="50"/>
      <c r="Q739" s="50"/>
      <c r="R739" s="50"/>
      <c r="S739" s="50"/>
      <c r="T739" s="50"/>
      <c r="U739" s="50"/>
      <c r="V739" s="50"/>
      <c r="W739" s="50"/>
      <c r="X739" s="50"/>
      <c r="Y739" s="50"/>
      <c r="Z739" s="50"/>
      <c r="AA739" s="50"/>
      <c r="AB739" s="50"/>
      <c r="AC739" s="50"/>
    </row>
    <row r="740">
      <c r="A740" s="48"/>
      <c r="B740" s="49"/>
      <c r="C740" s="48"/>
      <c r="D740" s="50" t="str">
        <f>IFERROR(__xludf.DUMMYFUNCTION("""COMPUTED_VALUE"""),"")</f>
        <v/>
      </c>
      <c r="E740" s="50"/>
      <c r="F740" s="50"/>
      <c r="G740" s="50"/>
      <c r="H740" s="50" t="s">
        <v>1710</v>
      </c>
      <c r="I740" s="50"/>
      <c r="J740" s="50"/>
      <c r="K740" s="50"/>
      <c r="L740" s="50"/>
      <c r="M740" s="50"/>
      <c r="N740" s="50"/>
      <c r="O740" s="50"/>
      <c r="P740" s="50"/>
      <c r="Q740" s="50"/>
      <c r="R740" s="50"/>
      <c r="S740" s="50"/>
      <c r="T740" s="50"/>
      <c r="U740" s="50"/>
      <c r="V740" s="50"/>
      <c r="W740" s="50"/>
      <c r="X740" s="50"/>
      <c r="Y740" s="50"/>
      <c r="Z740" s="50"/>
      <c r="AA740" s="50"/>
      <c r="AB740" s="50"/>
      <c r="AC740" s="50"/>
    </row>
    <row r="741">
      <c r="A741" s="48" t="s">
        <v>3690</v>
      </c>
      <c r="B741" s="49" t="s">
        <v>3691</v>
      </c>
      <c r="C741" s="48" t="s">
        <v>3669</v>
      </c>
      <c r="D741" s="50" t="str">
        <f>IFERROR(__xludf.DUMMYFUNCTION("""COMPUTED_VALUE"""),"50 Cellules")</f>
        <v>50 Cellules</v>
      </c>
      <c r="E741" s="50"/>
      <c r="F741" s="50"/>
      <c r="G741" s="50"/>
      <c r="H741" s="50" t="s">
        <v>1710</v>
      </c>
      <c r="I741" s="50"/>
      <c r="J741" s="50"/>
      <c r="K741" s="50" t="s">
        <v>3654</v>
      </c>
      <c r="L741" s="50" t="s">
        <v>1881</v>
      </c>
      <c r="M741" s="50"/>
      <c r="N741" s="50"/>
      <c r="O741" s="50"/>
      <c r="P741" s="50"/>
      <c r="Q741" s="50"/>
      <c r="R741" s="50"/>
      <c r="S741" s="50"/>
      <c r="T741" s="50"/>
      <c r="U741" s="50"/>
      <c r="V741" s="50"/>
      <c r="W741" s="50"/>
      <c r="X741" s="50"/>
      <c r="Y741" s="50"/>
      <c r="Z741" s="50"/>
      <c r="AA741" s="50"/>
      <c r="AB741" s="50"/>
      <c r="AC741" s="50"/>
    </row>
    <row r="742">
      <c r="A742" s="48" t="s">
        <v>3690</v>
      </c>
      <c r="B742" s="49" t="s">
        <v>3692</v>
      </c>
      <c r="C742" s="48" t="s">
        <v>3671</v>
      </c>
      <c r="D742" s="50" t="str">
        <f>IFERROR(__xludf.DUMMYFUNCTION("""COMPUTED_VALUE"""),"72 Cellules")</f>
        <v>72 Cellules</v>
      </c>
      <c r="E742" s="50"/>
      <c r="F742" s="50"/>
      <c r="G742" s="50"/>
      <c r="H742" s="50" t="s">
        <v>1710</v>
      </c>
      <c r="I742" s="50"/>
      <c r="J742" s="50"/>
      <c r="K742" s="50" t="s">
        <v>3654</v>
      </c>
      <c r="L742" s="50" t="s">
        <v>1881</v>
      </c>
      <c r="M742" s="50"/>
      <c r="N742" s="50"/>
      <c r="O742" s="50"/>
      <c r="P742" s="50"/>
      <c r="Q742" s="50"/>
      <c r="R742" s="50"/>
      <c r="S742" s="50"/>
      <c r="T742" s="50"/>
      <c r="U742" s="50"/>
      <c r="V742" s="50"/>
      <c r="W742" s="50"/>
      <c r="X742" s="50"/>
      <c r="Y742" s="50"/>
      <c r="Z742" s="50"/>
      <c r="AA742" s="50"/>
      <c r="AB742" s="50"/>
      <c r="AC742" s="50"/>
    </row>
    <row r="743">
      <c r="A743" s="48" t="s">
        <v>3690</v>
      </c>
      <c r="B743" s="49" t="s">
        <v>3693</v>
      </c>
      <c r="C743" s="48" t="s">
        <v>3673</v>
      </c>
      <c r="D743" s="50" t="str">
        <f>IFERROR(__xludf.DUMMYFUNCTION("""COMPUTED_VALUE"""),"128 Cellules")</f>
        <v>128 Cellules</v>
      </c>
      <c r="E743" s="50"/>
      <c r="F743" s="50"/>
      <c r="G743" s="50"/>
      <c r="H743" s="50" t="s">
        <v>1710</v>
      </c>
      <c r="I743" s="50"/>
      <c r="J743" s="50"/>
      <c r="K743" s="50" t="s">
        <v>3654</v>
      </c>
      <c r="L743" s="50" t="s">
        <v>1881</v>
      </c>
      <c r="M743" s="50"/>
      <c r="N743" s="50"/>
      <c r="O743" s="50"/>
      <c r="P743" s="50"/>
      <c r="Q743" s="50"/>
      <c r="R743" s="50"/>
      <c r="S743" s="50"/>
      <c r="T743" s="50"/>
      <c r="U743" s="50"/>
      <c r="V743" s="50"/>
      <c r="W743" s="50"/>
      <c r="X743" s="50"/>
      <c r="Y743" s="50"/>
      <c r="Z743" s="50"/>
      <c r="AA743" s="50"/>
      <c r="AB743" s="50"/>
      <c r="AC743" s="50"/>
    </row>
    <row r="744">
      <c r="A744" s="48" t="s">
        <v>3690</v>
      </c>
      <c r="B744" s="49" t="s">
        <v>3694</v>
      </c>
      <c r="C744" s="48" t="s">
        <v>3675</v>
      </c>
      <c r="D744" s="50" t="str">
        <f>IFERROR(__xludf.DUMMYFUNCTION("""COMPUTED_VALUE"""),"Sachet")</f>
        <v>Sachet</v>
      </c>
      <c r="E744" s="50"/>
      <c r="F744" s="50"/>
      <c r="G744" s="50"/>
      <c r="H744" s="50" t="s">
        <v>1710</v>
      </c>
      <c r="I744" s="50"/>
      <c r="J744" s="50"/>
      <c r="K744" s="50" t="s">
        <v>3654</v>
      </c>
      <c r="L744" s="50" t="s">
        <v>1881</v>
      </c>
      <c r="M744" s="50"/>
      <c r="N744" s="50"/>
      <c r="O744" s="50"/>
      <c r="P744" s="50"/>
      <c r="Q744" s="50"/>
      <c r="R744" s="50"/>
      <c r="S744" s="50"/>
      <c r="T744" s="50"/>
      <c r="U744" s="50"/>
      <c r="V744" s="50"/>
      <c r="W744" s="50"/>
      <c r="X744" s="50"/>
      <c r="Y744" s="50"/>
      <c r="Z744" s="50"/>
      <c r="AA744" s="50"/>
      <c r="AB744" s="50"/>
      <c r="AC744" s="50"/>
    </row>
    <row r="745">
      <c r="A745" s="48" t="s">
        <v>3690</v>
      </c>
      <c r="B745" s="49" t="s">
        <v>3695</v>
      </c>
      <c r="C745" s="48" t="s">
        <v>3677</v>
      </c>
      <c r="D745" s="50" t="str">
        <f>IFERROR(__xludf.DUMMYFUNCTION("""COMPUTED_VALUE"""),"Sac Long")</f>
        <v>Sac Long</v>
      </c>
      <c r="E745" s="50"/>
      <c r="F745" s="50"/>
      <c r="G745" s="50"/>
      <c r="H745" s="50" t="s">
        <v>1710</v>
      </c>
      <c r="I745" s="50"/>
      <c r="J745" s="50"/>
      <c r="K745" s="50" t="s">
        <v>3654</v>
      </c>
      <c r="L745" s="50" t="s">
        <v>1881</v>
      </c>
      <c r="M745" s="50"/>
      <c r="N745" s="50"/>
      <c r="O745" s="50"/>
      <c r="P745" s="50"/>
      <c r="Q745" s="50"/>
      <c r="R745" s="50"/>
      <c r="S745" s="50"/>
      <c r="T745" s="50"/>
      <c r="U745" s="50"/>
      <c r="V745" s="50"/>
      <c r="W745" s="50"/>
      <c r="X745" s="50"/>
      <c r="Y745" s="50"/>
      <c r="Z745" s="50"/>
      <c r="AA745" s="50"/>
      <c r="AB745" s="50"/>
      <c r="AC745" s="50"/>
    </row>
    <row r="746">
      <c r="A746" s="48" t="s">
        <v>3690</v>
      </c>
      <c r="B746" s="49" t="s">
        <v>3696</v>
      </c>
      <c r="C746" s="48" t="s">
        <v>3683</v>
      </c>
      <c r="D746" s="50" t="str">
        <f>IFERROR(__xludf.DUMMYFUNCTION("""COMPUTED_VALUE"""),"Sac Coyah")</f>
        <v>Sac Coyah</v>
      </c>
      <c r="E746" s="50"/>
      <c r="F746" s="50"/>
      <c r="G746" s="50"/>
      <c r="H746" s="50" t="s">
        <v>1710</v>
      </c>
      <c r="I746" s="50"/>
      <c r="J746" s="50"/>
      <c r="K746" s="50" t="s">
        <v>3654</v>
      </c>
      <c r="L746" s="50" t="s">
        <v>1881</v>
      </c>
      <c r="M746" s="50"/>
      <c r="N746" s="50"/>
      <c r="O746" s="50"/>
      <c r="P746" s="50"/>
      <c r="Q746" s="50"/>
      <c r="R746" s="50"/>
      <c r="S746" s="50"/>
      <c r="T746" s="50"/>
      <c r="U746" s="50"/>
      <c r="V746" s="50"/>
      <c r="W746" s="50"/>
      <c r="X746" s="50"/>
      <c r="Y746" s="50"/>
      <c r="Z746" s="50"/>
      <c r="AA746" s="50"/>
      <c r="AB746" s="50"/>
      <c r="AC746" s="50"/>
    </row>
    <row r="747">
      <c r="A747" s="48" t="s">
        <v>3690</v>
      </c>
      <c r="B747" s="49" t="s">
        <v>3697</v>
      </c>
      <c r="C747" s="48" t="s">
        <v>3675</v>
      </c>
      <c r="D747" s="50" t="str">
        <f>IFERROR(__xludf.DUMMYFUNCTION("""COMPUTED_VALUE"""),"Sachet")</f>
        <v>Sachet</v>
      </c>
      <c r="E747" s="50"/>
      <c r="F747" s="50"/>
      <c r="G747" s="50"/>
      <c r="H747" s="50" t="s">
        <v>1710</v>
      </c>
      <c r="I747" s="50"/>
      <c r="J747" s="50"/>
      <c r="K747" s="50" t="s">
        <v>3654</v>
      </c>
      <c r="L747" s="50" t="s">
        <v>1700</v>
      </c>
      <c r="M747" s="50"/>
      <c r="N747" s="50"/>
      <c r="O747" s="50"/>
      <c r="P747" s="50"/>
      <c r="Q747" s="50"/>
      <c r="R747" s="50"/>
      <c r="S747" s="50"/>
      <c r="T747" s="50"/>
      <c r="U747" s="50"/>
      <c r="V747" s="50"/>
      <c r="W747" s="50"/>
      <c r="X747" s="50"/>
      <c r="Y747" s="50"/>
      <c r="Z747" s="50"/>
      <c r="AA747" s="50"/>
      <c r="AB747" s="50"/>
      <c r="AC747" s="50"/>
    </row>
    <row r="748">
      <c r="A748" s="48" t="s">
        <v>3690</v>
      </c>
      <c r="B748" s="49" t="s">
        <v>3698</v>
      </c>
      <c r="C748" s="48" t="s">
        <v>3677</v>
      </c>
      <c r="D748" s="50" t="str">
        <f>IFERROR(__xludf.DUMMYFUNCTION("""COMPUTED_VALUE"""),"Sac Long")</f>
        <v>Sac Long</v>
      </c>
      <c r="E748" s="50"/>
      <c r="F748" s="50"/>
      <c r="G748" s="50"/>
      <c r="H748" s="50" t="s">
        <v>1710</v>
      </c>
      <c r="I748" s="50"/>
      <c r="J748" s="50"/>
      <c r="K748" s="50" t="s">
        <v>3654</v>
      </c>
      <c r="L748" s="50" t="s">
        <v>1700</v>
      </c>
      <c r="M748" s="50"/>
      <c r="N748" s="50"/>
      <c r="O748" s="50"/>
      <c r="P748" s="50"/>
      <c r="Q748" s="50"/>
      <c r="R748" s="50"/>
      <c r="S748" s="50"/>
      <c r="T748" s="50"/>
      <c r="U748" s="50"/>
      <c r="V748" s="50"/>
      <c r="W748" s="50"/>
      <c r="X748" s="50"/>
      <c r="Y748" s="50"/>
      <c r="Z748" s="50"/>
      <c r="AA748" s="50"/>
      <c r="AB748" s="50"/>
      <c r="AC748" s="50"/>
    </row>
    <row r="749">
      <c r="A749" s="48" t="s">
        <v>3690</v>
      </c>
      <c r="B749" s="49" t="s">
        <v>3699</v>
      </c>
      <c r="C749" s="48" t="s">
        <v>3679</v>
      </c>
      <c r="D749" s="50" t="str">
        <f>IFERROR(__xludf.DUMMYFUNCTION("""COMPUTED_VALUE"""),"Grand Sac")</f>
        <v>Grand Sac</v>
      </c>
      <c r="E749" s="50"/>
      <c r="F749" s="50"/>
      <c r="G749" s="50"/>
      <c r="H749" s="50" t="s">
        <v>1710</v>
      </c>
      <c r="I749" s="50"/>
      <c r="J749" s="50"/>
      <c r="K749" s="50" t="s">
        <v>3654</v>
      </c>
      <c r="L749" s="50" t="s">
        <v>1700</v>
      </c>
      <c r="M749" s="50"/>
      <c r="N749" s="50"/>
      <c r="O749" s="50"/>
      <c r="P749" s="50"/>
      <c r="Q749" s="50"/>
      <c r="R749" s="50"/>
      <c r="S749" s="50"/>
      <c r="T749" s="50"/>
      <c r="U749" s="50"/>
      <c r="V749" s="50"/>
      <c r="W749" s="50"/>
      <c r="X749" s="50"/>
      <c r="Y749" s="50"/>
      <c r="Z749" s="50"/>
      <c r="AA749" s="50"/>
      <c r="AB749" s="50"/>
      <c r="AC749" s="50"/>
    </row>
    <row r="750">
      <c r="A750" s="48" t="s">
        <v>3690</v>
      </c>
      <c r="B750" s="49" t="s">
        <v>3700</v>
      </c>
      <c r="C750" s="48" t="s">
        <v>15</v>
      </c>
      <c r="D750" s="50" t="str">
        <f>IFERROR(__xludf.DUMMYFUNCTION("""COMPUTED_VALUE"""),"Seau De 10 L")</f>
        <v>Seau De 10 L</v>
      </c>
      <c r="E750" s="50"/>
      <c r="F750" s="50"/>
      <c r="G750" s="50"/>
      <c r="H750" s="50" t="s">
        <v>1710</v>
      </c>
      <c r="I750" s="50"/>
      <c r="J750" s="50"/>
      <c r="K750" s="50" t="s">
        <v>3654</v>
      </c>
      <c r="L750" s="50" t="s">
        <v>1700</v>
      </c>
      <c r="M750" s="50"/>
      <c r="N750" s="50"/>
      <c r="O750" s="50"/>
      <c r="P750" s="50"/>
      <c r="Q750" s="50"/>
      <c r="R750" s="50"/>
      <c r="S750" s="50"/>
      <c r="T750" s="50"/>
      <c r="U750" s="50"/>
      <c r="V750" s="50"/>
      <c r="W750" s="50"/>
      <c r="X750" s="50"/>
      <c r="Y750" s="50"/>
      <c r="Z750" s="50"/>
      <c r="AA750" s="50"/>
      <c r="AB750" s="50"/>
      <c r="AC750" s="50"/>
    </row>
    <row r="751">
      <c r="A751" s="48" t="s">
        <v>3690</v>
      </c>
      <c r="B751" s="49" t="s">
        <v>3701</v>
      </c>
      <c r="C751" s="48" t="s">
        <v>3675</v>
      </c>
      <c r="D751" s="50" t="str">
        <f>IFERROR(__xludf.DUMMYFUNCTION("""COMPUTED_VALUE"""),"Sachet")</f>
        <v>Sachet</v>
      </c>
      <c r="E751" s="50"/>
      <c r="F751" s="50"/>
      <c r="G751" s="50"/>
      <c r="H751" s="50" t="s">
        <v>1710</v>
      </c>
      <c r="I751" s="50"/>
      <c r="J751" s="50"/>
      <c r="K751" s="50" t="s">
        <v>3654</v>
      </c>
      <c r="L751" s="50" t="s">
        <v>1841</v>
      </c>
      <c r="M751" s="50"/>
      <c r="N751" s="50"/>
      <c r="O751" s="50"/>
      <c r="P751" s="50"/>
      <c r="Q751" s="50"/>
      <c r="R751" s="50"/>
      <c r="S751" s="50"/>
      <c r="T751" s="50"/>
      <c r="U751" s="50"/>
      <c r="V751" s="50"/>
      <c r="W751" s="50"/>
      <c r="X751" s="50"/>
      <c r="Y751" s="50"/>
      <c r="Z751" s="50"/>
      <c r="AA751" s="50"/>
      <c r="AB751" s="50"/>
      <c r="AC751" s="50"/>
    </row>
    <row r="752">
      <c r="A752" s="48" t="s">
        <v>3690</v>
      </c>
      <c r="B752" s="49" t="s">
        <v>3702</v>
      </c>
      <c r="C752" s="48" t="s">
        <v>3677</v>
      </c>
      <c r="D752" s="50" t="str">
        <f>IFERROR(__xludf.DUMMYFUNCTION("""COMPUTED_VALUE"""),"Sac Long")</f>
        <v>Sac Long</v>
      </c>
      <c r="E752" s="50"/>
      <c r="F752" s="50"/>
      <c r="G752" s="50"/>
      <c r="H752" s="50" t="s">
        <v>1710</v>
      </c>
      <c r="I752" s="50"/>
      <c r="J752" s="50"/>
      <c r="K752" s="50" t="s">
        <v>3654</v>
      </c>
      <c r="L752" s="50" t="s">
        <v>1841</v>
      </c>
      <c r="M752" s="50"/>
      <c r="N752" s="50"/>
      <c r="O752" s="50"/>
      <c r="P752" s="50"/>
      <c r="Q752" s="50"/>
      <c r="R752" s="50"/>
      <c r="S752" s="50"/>
      <c r="T752" s="50"/>
      <c r="U752" s="50"/>
      <c r="V752" s="50"/>
      <c r="W752" s="50"/>
      <c r="X752" s="50"/>
      <c r="Y752" s="50"/>
      <c r="Z752" s="50"/>
      <c r="AA752" s="50"/>
      <c r="AB752" s="50"/>
      <c r="AC752" s="50"/>
    </row>
    <row r="753">
      <c r="A753" s="48" t="s">
        <v>3690</v>
      </c>
      <c r="B753" s="49" t="s">
        <v>3703</v>
      </c>
      <c r="C753" s="48" t="s">
        <v>3679</v>
      </c>
      <c r="D753" s="50" t="str">
        <f>IFERROR(__xludf.DUMMYFUNCTION("""COMPUTED_VALUE"""),"Grand Sac")</f>
        <v>Grand Sac</v>
      </c>
      <c r="E753" s="50"/>
      <c r="F753" s="50"/>
      <c r="G753" s="50"/>
      <c r="H753" s="50" t="s">
        <v>1710</v>
      </c>
      <c r="I753" s="50"/>
      <c r="J753" s="50"/>
      <c r="K753" s="50" t="s">
        <v>3654</v>
      </c>
      <c r="L753" s="50" t="s">
        <v>1841</v>
      </c>
      <c r="M753" s="50"/>
      <c r="N753" s="50"/>
      <c r="O753" s="50"/>
      <c r="P753" s="50"/>
      <c r="Q753" s="50"/>
      <c r="R753" s="50"/>
      <c r="S753" s="50"/>
      <c r="T753" s="50"/>
      <c r="U753" s="50"/>
      <c r="V753" s="50"/>
      <c r="W753" s="50"/>
      <c r="X753" s="50"/>
      <c r="Y753" s="50"/>
      <c r="Z753" s="50"/>
      <c r="AA753" s="50"/>
      <c r="AB753" s="50"/>
      <c r="AC753" s="50"/>
    </row>
    <row r="754">
      <c r="A754" s="48" t="s">
        <v>3690</v>
      </c>
      <c r="B754" s="49" t="s">
        <v>3704</v>
      </c>
      <c r="C754" s="48" t="s">
        <v>15</v>
      </c>
      <c r="D754" s="50" t="str">
        <f>IFERROR(__xludf.DUMMYFUNCTION("""COMPUTED_VALUE"""),"Seau De 10 L")</f>
        <v>Seau De 10 L</v>
      </c>
      <c r="E754" s="50"/>
      <c r="F754" s="50"/>
      <c r="G754" s="50"/>
      <c r="H754" s="50" t="s">
        <v>1710</v>
      </c>
      <c r="I754" s="50"/>
      <c r="J754" s="50"/>
      <c r="K754" s="50" t="s">
        <v>3654</v>
      </c>
      <c r="L754" s="50" t="s">
        <v>1841</v>
      </c>
      <c r="M754" s="50"/>
      <c r="N754" s="50"/>
      <c r="O754" s="50"/>
      <c r="P754" s="50"/>
      <c r="Q754" s="50"/>
      <c r="R754" s="50"/>
      <c r="S754" s="50"/>
      <c r="T754" s="50"/>
      <c r="U754" s="50"/>
      <c r="V754" s="50"/>
      <c r="W754" s="50"/>
      <c r="X754" s="50"/>
      <c r="Y754" s="50"/>
      <c r="Z754" s="50"/>
      <c r="AA754" s="50"/>
      <c r="AB754" s="50"/>
      <c r="AC754" s="50"/>
    </row>
    <row r="755">
      <c r="A755" s="48" t="s">
        <v>3690</v>
      </c>
      <c r="B755" s="49" t="s">
        <v>3705</v>
      </c>
      <c r="C755" s="48" t="s">
        <v>18</v>
      </c>
      <c r="D755" s="50" t="str">
        <f>IFERROR(__xludf.DUMMYFUNCTION("""COMPUTED_VALUE"""),"Seau De 25 L")</f>
        <v>Seau De 25 L</v>
      </c>
      <c r="E755" s="50"/>
      <c r="F755" s="50"/>
      <c r="G755" s="50"/>
      <c r="H755" s="50" t="s">
        <v>1710</v>
      </c>
      <c r="I755" s="50"/>
      <c r="J755" s="50"/>
      <c r="K755" s="50" t="s">
        <v>3654</v>
      </c>
      <c r="L755" s="50" t="s">
        <v>1841</v>
      </c>
      <c r="M755" s="50"/>
      <c r="N755" s="50"/>
      <c r="O755" s="50"/>
      <c r="P755" s="50"/>
      <c r="Q755" s="50"/>
      <c r="R755" s="50"/>
      <c r="S755" s="50"/>
      <c r="T755" s="50"/>
      <c r="U755" s="50"/>
      <c r="V755" s="50"/>
      <c r="W755" s="50"/>
      <c r="X755" s="50"/>
      <c r="Y755" s="50"/>
      <c r="Z755" s="50"/>
      <c r="AA755" s="50"/>
      <c r="AB755" s="50"/>
      <c r="AC755" s="50"/>
    </row>
    <row r="756">
      <c r="A756" s="48" t="s">
        <v>3690</v>
      </c>
      <c r="B756" s="49" t="s">
        <v>3706</v>
      </c>
      <c r="C756" s="48" t="s">
        <v>3675</v>
      </c>
      <c r="D756" s="50" t="str">
        <f>IFERROR(__xludf.DUMMYFUNCTION("""COMPUTED_VALUE"""),"Sachet")</f>
        <v>Sachet</v>
      </c>
      <c r="E756" s="50"/>
      <c r="F756" s="50"/>
      <c r="G756" s="50"/>
      <c r="H756" s="50" t="s">
        <v>1710</v>
      </c>
      <c r="I756" s="50"/>
      <c r="J756" s="50"/>
      <c r="K756" s="50" t="s">
        <v>3654</v>
      </c>
      <c r="L756" s="50" t="s">
        <v>1870</v>
      </c>
      <c r="M756" s="50"/>
      <c r="N756" s="50"/>
      <c r="O756" s="50"/>
      <c r="P756" s="50"/>
      <c r="Q756" s="50"/>
      <c r="R756" s="50"/>
      <c r="S756" s="50"/>
      <c r="T756" s="50"/>
      <c r="U756" s="50"/>
      <c r="V756" s="50"/>
      <c r="W756" s="50"/>
      <c r="X756" s="50"/>
      <c r="Y756" s="50"/>
      <c r="Z756" s="50"/>
      <c r="AA756" s="50"/>
      <c r="AB756" s="50"/>
      <c r="AC756" s="50"/>
    </row>
    <row r="757">
      <c r="A757" s="48" t="s">
        <v>3690</v>
      </c>
      <c r="B757" s="49" t="s">
        <v>3707</v>
      </c>
      <c r="C757" s="48" t="s">
        <v>3677</v>
      </c>
      <c r="D757" s="50" t="str">
        <f>IFERROR(__xludf.DUMMYFUNCTION("""COMPUTED_VALUE"""),"Sac Long")</f>
        <v>Sac Long</v>
      </c>
      <c r="E757" s="50"/>
      <c r="F757" s="50"/>
      <c r="G757" s="50"/>
      <c r="H757" s="50" t="s">
        <v>1710</v>
      </c>
      <c r="I757" s="50"/>
      <c r="J757" s="50"/>
      <c r="K757" s="50" t="s">
        <v>3654</v>
      </c>
      <c r="L757" s="50" t="s">
        <v>1870</v>
      </c>
      <c r="M757" s="50"/>
      <c r="N757" s="50"/>
      <c r="O757" s="50"/>
      <c r="P757" s="50"/>
      <c r="Q757" s="50"/>
      <c r="R757" s="50"/>
      <c r="S757" s="50"/>
      <c r="T757" s="50"/>
      <c r="U757" s="50"/>
      <c r="V757" s="50"/>
      <c r="W757" s="50"/>
      <c r="X757" s="50"/>
      <c r="Y757" s="50"/>
      <c r="Z757" s="50"/>
      <c r="AA757" s="50"/>
      <c r="AB757" s="50"/>
      <c r="AC757" s="50"/>
    </row>
    <row r="758">
      <c r="A758" s="48" t="s">
        <v>3690</v>
      </c>
      <c r="B758" s="49" t="s">
        <v>3708</v>
      </c>
      <c r="C758" s="48" t="s">
        <v>3679</v>
      </c>
      <c r="D758" s="50" t="str">
        <f>IFERROR(__xludf.DUMMYFUNCTION("""COMPUTED_VALUE"""),"Grand Sac")</f>
        <v>Grand Sac</v>
      </c>
      <c r="E758" s="50"/>
      <c r="F758" s="50"/>
      <c r="G758" s="50"/>
      <c r="H758" s="50" t="s">
        <v>1710</v>
      </c>
      <c r="I758" s="50"/>
      <c r="J758" s="50"/>
      <c r="K758" s="50" t="s">
        <v>3654</v>
      </c>
      <c r="L758" s="50" t="s">
        <v>1870</v>
      </c>
      <c r="M758" s="50"/>
      <c r="N758" s="50"/>
      <c r="O758" s="50"/>
      <c r="P758" s="50"/>
      <c r="Q758" s="50"/>
      <c r="R758" s="50"/>
      <c r="S758" s="50"/>
      <c r="T758" s="50"/>
      <c r="U758" s="50"/>
      <c r="V758" s="50"/>
      <c r="W758" s="50"/>
      <c r="X758" s="50"/>
      <c r="Y758" s="50"/>
      <c r="Z758" s="50"/>
      <c r="AA758" s="50"/>
      <c r="AB758" s="50"/>
      <c r="AC758" s="50"/>
    </row>
    <row r="759">
      <c r="A759" s="48" t="s">
        <v>3690</v>
      </c>
      <c r="B759" s="49" t="s">
        <v>3709</v>
      </c>
      <c r="C759" s="48" t="s">
        <v>3683</v>
      </c>
      <c r="D759" s="50" t="str">
        <f>IFERROR(__xludf.DUMMYFUNCTION("""COMPUTED_VALUE"""),"Sac Coyah")</f>
        <v>Sac Coyah</v>
      </c>
      <c r="E759" s="50"/>
      <c r="F759" s="50"/>
      <c r="G759" s="50"/>
      <c r="H759" s="50" t="s">
        <v>1710</v>
      </c>
      <c r="I759" s="50"/>
      <c r="J759" s="50"/>
      <c r="K759" s="50" t="s">
        <v>3654</v>
      </c>
      <c r="L759" s="50" t="s">
        <v>1870</v>
      </c>
      <c r="M759" s="50"/>
      <c r="N759" s="50"/>
      <c r="O759" s="50"/>
      <c r="P759" s="50"/>
      <c r="Q759" s="50"/>
      <c r="R759" s="50"/>
      <c r="S759" s="50"/>
      <c r="T759" s="50"/>
      <c r="U759" s="50"/>
      <c r="V759" s="50"/>
      <c r="W759" s="50"/>
      <c r="X759" s="50"/>
      <c r="Y759" s="50"/>
      <c r="Z759" s="50"/>
      <c r="AA759" s="50"/>
      <c r="AB759" s="50"/>
      <c r="AC759" s="50"/>
    </row>
    <row r="760">
      <c r="A760" s="48" t="s">
        <v>3690</v>
      </c>
      <c r="B760" s="49" t="s">
        <v>3710</v>
      </c>
      <c r="C760" s="48" t="s">
        <v>3675</v>
      </c>
      <c r="D760" s="50" t="str">
        <f>IFERROR(__xludf.DUMMYFUNCTION("""COMPUTED_VALUE"""),"Sachet")</f>
        <v>Sachet</v>
      </c>
      <c r="E760" s="50"/>
      <c r="F760" s="50"/>
      <c r="G760" s="50"/>
      <c r="H760" s="50" t="s">
        <v>1710</v>
      </c>
      <c r="I760" s="50"/>
      <c r="J760" s="50"/>
      <c r="K760" s="50" t="s">
        <v>3654</v>
      </c>
      <c r="L760" s="50" t="s">
        <v>3711</v>
      </c>
      <c r="M760" s="50"/>
      <c r="N760" s="50"/>
      <c r="O760" s="50"/>
      <c r="P760" s="50"/>
      <c r="Q760" s="50"/>
      <c r="R760" s="50"/>
      <c r="S760" s="50"/>
      <c r="T760" s="50"/>
      <c r="U760" s="50"/>
      <c r="V760" s="50"/>
      <c r="W760" s="50"/>
      <c r="X760" s="50"/>
      <c r="Y760" s="50"/>
      <c r="Z760" s="50"/>
      <c r="AA760" s="50"/>
      <c r="AB760" s="50"/>
      <c r="AC760" s="50"/>
    </row>
    <row r="761">
      <c r="A761" s="48" t="s">
        <v>3690</v>
      </c>
      <c r="B761" s="49" t="s">
        <v>3712</v>
      </c>
      <c r="C761" s="48" t="s">
        <v>3677</v>
      </c>
      <c r="D761" s="50" t="str">
        <f>IFERROR(__xludf.DUMMYFUNCTION("""COMPUTED_VALUE"""),"Sac Long")</f>
        <v>Sac Long</v>
      </c>
      <c r="E761" s="50"/>
      <c r="F761" s="50"/>
      <c r="G761" s="50"/>
      <c r="H761" s="50" t="s">
        <v>1710</v>
      </c>
      <c r="I761" s="50"/>
      <c r="J761" s="50"/>
      <c r="K761" s="50" t="s">
        <v>3654</v>
      </c>
      <c r="L761" s="50" t="s">
        <v>3711</v>
      </c>
      <c r="M761" s="50"/>
      <c r="N761" s="50"/>
      <c r="O761" s="50"/>
      <c r="P761" s="50"/>
      <c r="Q761" s="50"/>
      <c r="R761" s="50"/>
      <c r="S761" s="50"/>
      <c r="T761" s="50"/>
      <c r="U761" s="50"/>
      <c r="V761" s="50"/>
      <c r="W761" s="50"/>
      <c r="X761" s="50"/>
      <c r="Y761" s="50"/>
      <c r="Z761" s="50"/>
      <c r="AA761" s="50"/>
      <c r="AB761" s="50"/>
      <c r="AC761" s="50"/>
    </row>
    <row r="762">
      <c r="A762" s="48" t="s">
        <v>3690</v>
      </c>
      <c r="B762" s="49" t="s">
        <v>3713</v>
      </c>
      <c r="C762" s="48" t="s">
        <v>3679</v>
      </c>
      <c r="D762" s="50" t="str">
        <f>IFERROR(__xludf.DUMMYFUNCTION("""COMPUTED_VALUE"""),"Grand Sac")</f>
        <v>Grand Sac</v>
      </c>
      <c r="E762" s="50"/>
      <c r="F762" s="50"/>
      <c r="G762" s="50"/>
      <c r="H762" s="50" t="s">
        <v>1710</v>
      </c>
      <c r="I762" s="50"/>
      <c r="J762" s="50"/>
      <c r="K762" s="50" t="s">
        <v>3654</v>
      </c>
      <c r="L762" s="50" t="s">
        <v>3711</v>
      </c>
      <c r="M762" s="50"/>
      <c r="N762" s="50"/>
      <c r="O762" s="50"/>
      <c r="P762" s="50"/>
      <c r="Q762" s="50"/>
      <c r="R762" s="50"/>
      <c r="S762" s="50"/>
      <c r="T762" s="50"/>
      <c r="U762" s="50"/>
      <c r="V762" s="50"/>
      <c r="W762" s="50"/>
      <c r="X762" s="50"/>
      <c r="Y762" s="50"/>
      <c r="Z762" s="50"/>
      <c r="AA762" s="50"/>
      <c r="AB762" s="50"/>
      <c r="AC762" s="50"/>
    </row>
    <row r="763">
      <c r="A763" s="48" t="s">
        <v>3690</v>
      </c>
      <c r="B763" s="49" t="s">
        <v>3714</v>
      </c>
      <c r="C763" s="48" t="s">
        <v>15</v>
      </c>
      <c r="D763" s="50" t="str">
        <f>IFERROR(__xludf.DUMMYFUNCTION("""COMPUTED_VALUE"""),"Seau De 10 L")</f>
        <v>Seau De 10 L</v>
      </c>
      <c r="E763" s="50"/>
      <c r="F763" s="50"/>
      <c r="G763" s="50"/>
      <c r="H763" s="50" t="s">
        <v>1710</v>
      </c>
      <c r="I763" s="50"/>
      <c r="J763" s="50"/>
      <c r="K763" s="50" t="s">
        <v>3654</v>
      </c>
      <c r="L763" s="50" t="s">
        <v>3711</v>
      </c>
      <c r="M763" s="50"/>
      <c r="N763" s="50"/>
      <c r="O763" s="50"/>
      <c r="P763" s="50"/>
      <c r="Q763" s="50"/>
      <c r="R763" s="50"/>
      <c r="S763" s="50"/>
      <c r="T763" s="50"/>
      <c r="U763" s="50"/>
      <c r="V763" s="50"/>
      <c r="W763" s="50"/>
      <c r="X763" s="50"/>
      <c r="Y763" s="50"/>
      <c r="Z763" s="50"/>
      <c r="AA763" s="50"/>
      <c r="AB763" s="50"/>
      <c r="AC763" s="50"/>
    </row>
    <row r="764">
      <c r="A764" s="48" t="s">
        <v>3690</v>
      </c>
      <c r="B764" s="49" t="s">
        <v>3715</v>
      </c>
      <c r="C764" s="48" t="s">
        <v>18</v>
      </c>
      <c r="D764" s="50" t="str">
        <f>IFERROR(__xludf.DUMMYFUNCTION("""COMPUTED_VALUE"""),"Seau De 25 L")</f>
        <v>Seau De 25 L</v>
      </c>
      <c r="E764" s="50"/>
      <c r="F764" s="50"/>
      <c r="G764" s="50"/>
      <c r="H764" s="50" t="s">
        <v>1710</v>
      </c>
      <c r="I764" s="50"/>
      <c r="J764" s="50"/>
      <c r="K764" s="50" t="s">
        <v>3654</v>
      </c>
      <c r="L764" s="50" t="s">
        <v>3711</v>
      </c>
      <c r="M764" s="50"/>
      <c r="N764" s="50"/>
      <c r="O764" s="50"/>
      <c r="P764" s="50"/>
      <c r="Q764" s="50"/>
      <c r="R764" s="50"/>
      <c r="S764" s="50"/>
      <c r="T764" s="50"/>
      <c r="U764" s="50"/>
      <c r="V764" s="50"/>
      <c r="W764" s="50"/>
      <c r="X764" s="50"/>
      <c r="Y764" s="50"/>
      <c r="Z764" s="50"/>
      <c r="AA764" s="50"/>
      <c r="AB764" s="50"/>
      <c r="AC764" s="50"/>
    </row>
    <row r="765">
      <c r="A765" s="48" t="s">
        <v>3690</v>
      </c>
      <c r="B765" s="49" t="s">
        <v>3716</v>
      </c>
      <c r="C765" s="48" t="s">
        <v>3675</v>
      </c>
      <c r="D765" s="50" t="str">
        <f>IFERROR(__xludf.DUMMYFUNCTION("""COMPUTED_VALUE"""),"Sachet")</f>
        <v>Sachet</v>
      </c>
      <c r="E765" s="50"/>
      <c r="F765" s="50"/>
      <c r="G765" s="50"/>
      <c r="H765" s="50" t="s">
        <v>1710</v>
      </c>
      <c r="I765" s="50"/>
      <c r="J765" s="50"/>
      <c r="K765" s="50" t="s">
        <v>3656</v>
      </c>
      <c r="L765" s="50" t="s">
        <v>3717</v>
      </c>
      <c r="M765" s="50"/>
      <c r="N765" s="50"/>
      <c r="O765" s="50"/>
      <c r="P765" s="50"/>
      <c r="Q765" s="50"/>
      <c r="R765" s="50"/>
      <c r="S765" s="50"/>
      <c r="T765" s="50"/>
      <c r="U765" s="50"/>
      <c r="V765" s="50"/>
      <c r="W765" s="50"/>
      <c r="X765" s="50"/>
      <c r="Y765" s="50"/>
      <c r="Z765" s="50"/>
      <c r="AA765" s="50"/>
      <c r="AB765" s="50"/>
      <c r="AC765" s="50"/>
    </row>
    <row r="766">
      <c r="A766" s="48" t="s">
        <v>3690</v>
      </c>
      <c r="B766" s="49" t="s">
        <v>3718</v>
      </c>
      <c r="C766" s="48" t="s">
        <v>3677</v>
      </c>
      <c r="D766" s="50" t="str">
        <f>IFERROR(__xludf.DUMMYFUNCTION("""COMPUTED_VALUE"""),"Sac Long")</f>
        <v>Sac Long</v>
      </c>
      <c r="E766" s="50"/>
      <c r="F766" s="50"/>
      <c r="G766" s="50"/>
      <c r="H766" s="50" t="s">
        <v>1710</v>
      </c>
      <c r="I766" s="50"/>
      <c r="J766" s="50"/>
      <c r="K766" s="50" t="s">
        <v>3656</v>
      </c>
      <c r="L766" s="50" t="s">
        <v>3717</v>
      </c>
      <c r="M766" s="50"/>
      <c r="N766" s="50"/>
      <c r="O766" s="50"/>
      <c r="P766" s="50"/>
      <c r="Q766" s="50"/>
      <c r="R766" s="50"/>
      <c r="S766" s="50"/>
      <c r="T766" s="50"/>
      <c r="U766" s="50"/>
      <c r="V766" s="50"/>
      <c r="W766" s="50"/>
      <c r="X766" s="50"/>
      <c r="Y766" s="50"/>
      <c r="Z766" s="50"/>
      <c r="AA766" s="50"/>
      <c r="AB766" s="50"/>
      <c r="AC766" s="50"/>
    </row>
    <row r="767">
      <c r="A767" s="48" t="s">
        <v>3690</v>
      </c>
      <c r="B767" s="49" t="s">
        <v>3719</v>
      </c>
      <c r="C767" s="48" t="s">
        <v>3679</v>
      </c>
      <c r="D767" s="50" t="str">
        <f>IFERROR(__xludf.DUMMYFUNCTION("""COMPUTED_VALUE"""),"Grand Sac")</f>
        <v>Grand Sac</v>
      </c>
      <c r="E767" s="50"/>
      <c r="F767" s="50"/>
      <c r="G767" s="50"/>
      <c r="H767" s="50" t="s">
        <v>1710</v>
      </c>
      <c r="I767" s="50"/>
      <c r="J767" s="50"/>
      <c r="K767" s="50" t="s">
        <v>3656</v>
      </c>
      <c r="L767" s="50" t="s">
        <v>3717</v>
      </c>
      <c r="M767" s="50"/>
      <c r="N767" s="50"/>
      <c r="O767" s="50"/>
      <c r="P767" s="50"/>
      <c r="Q767" s="50"/>
      <c r="R767" s="50"/>
      <c r="S767" s="50"/>
      <c r="T767" s="50"/>
      <c r="U767" s="50"/>
      <c r="V767" s="50"/>
      <c r="W767" s="50"/>
      <c r="X767" s="50"/>
      <c r="Y767" s="50"/>
      <c r="Z767" s="50"/>
      <c r="AA767" s="50"/>
      <c r="AB767" s="50"/>
      <c r="AC767" s="50"/>
    </row>
    <row r="768">
      <c r="A768" s="48" t="s">
        <v>3690</v>
      </c>
      <c r="B768" s="49" t="s">
        <v>3720</v>
      </c>
      <c r="C768" s="48" t="s">
        <v>15</v>
      </c>
      <c r="D768" s="50" t="str">
        <f>IFERROR(__xludf.DUMMYFUNCTION("""COMPUTED_VALUE"""),"Seau De 10 L")</f>
        <v>Seau De 10 L</v>
      </c>
      <c r="E768" s="50"/>
      <c r="F768" s="50"/>
      <c r="G768" s="50"/>
      <c r="H768" s="50" t="s">
        <v>1710</v>
      </c>
      <c r="I768" s="50"/>
      <c r="J768" s="50"/>
      <c r="K768" s="50" t="s">
        <v>3656</v>
      </c>
      <c r="L768" s="50" t="s">
        <v>3717</v>
      </c>
      <c r="M768" s="50"/>
      <c r="N768" s="50"/>
      <c r="O768" s="50"/>
      <c r="P768" s="50"/>
      <c r="Q768" s="50"/>
      <c r="R768" s="50"/>
      <c r="S768" s="50"/>
      <c r="T768" s="50"/>
      <c r="U768" s="50"/>
      <c r="V768" s="50"/>
      <c r="W768" s="50"/>
      <c r="X768" s="50"/>
      <c r="Y768" s="50"/>
      <c r="Z768" s="50"/>
      <c r="AA768" s="50"/>
      <c r="AB768" s="50"/>
      <c r="AC768" s="50"/>
    </row>
    <row r="769">
      <c r="A769" s="48" t="s">
        <v>3690</v>
      </c>
      <c r="B769" s="49" t="s">
        <v>3721</v>
      </c>
      <c r="C769" s="48" t="s">
        <v>18</v>
      </c>
      <c r="D769" s="50" t="str">
        <f>IFERROR(__xludf.DUMMYFUNCTION("""COMPUTED_VALUE"""),"Seau De 25 L")</f>
        <v>Seau De 25 L</v>
      </c>
      <c r="E769" s="50"/>
      <c r="F769" s="50"/>
      <c r="G769" s="50"/>
      <c r="H769" s="50" t="s">
        <v>1710</v>
      </c>
      <c r="I769" s="50"/>
      <c r="J769" s="50"/>
      <c r="K769" s="50" t="s">
        <v>3656</v>
      </c>
      <c r="L769" s="50" t="s">
        <v>3717</v>
      </c>
      <c r="M769" s="50"/>
      <c r="N769" s="50"/>
      <c r="O769" s="50"/>
      <c r="P769" s="50"/>
      <c r="Q769" s="50"/>
      <c r="R769" s="50"/>
      <c r="S769" s="50"/>
      <c r="T769" s="50"/>
      <c r="U769" s="50"/>
      <c r="V769" s="50"/>
      <c r="W769" s="50"/>
      <c r="X769" s="50"/>
      <c r="Y769" s="50"/>
      <c r="Z769" s="50"/>
      <c r="AA769" s="50"/>
      <c r="AB769" s="50"/>
      <c r="AC769" s="50"/>
    </row>
    <row r="770">
      <c r="A770" s="48" t="s">
        <v>3690</v>
      </c>
      <c r="B770" s="49" t="s">
        <v>3722</v>
      </c>
      <c r="C770" s="48" t="s">
        <v>3683</v>
      </c>
      <c r="D770" s="50" t="str">
        <f>IFERROR(__xludf.DUMMYFUNCTION("""COMPUTED_VALUE"""),"Sac Coyah")</f>
        <v>Sac Coyah</v>
      </c>
      <c r="E770" s="50"/>
      <c r="F770" s="50"/>
      <c r="G770" s="50"/>
      <c r="H770" s="50" t="s">
        <v>1710</v>
      </c>
      <c r="I770" s="50"/>
      <c r="J770" s="50"/>
      <c r="K770" s="50" t="s">
        <v>3656</v>
      </c>
      <c r="L770" s="50" t="s">
        <v>3717</v>
      </c>
      <c r="M770" s="50"/>
      <c r="N770" s="50"/>
      <c r="O770" s="50"/>
      <c r="P770" s="50"/>
      <c r="Q770" s="50"/>
      <c r="R770" s="50"/>
      <c r="S770" s="50"/>
      <c r="T770" s="50"/>
      <c r="U770" s="50"/>
      <c r="V770" s="50"/>
      <c r="W770" s="50"/>
      <c r="X770" s="50"/>
      <c r="Y770" s="50"/>
      <c r="Z770" s="50"/>
      <c r="AA770" s="50"/>
      <c r="AB770" s="50"/>
      <c r="AC770" s="50"/>
    </row>
    <row r="771">
      <c r="A771" s="48" t="s">
        <v>3690</v>
      </c>
      <c r="B771" s="49" t="s">
        <v>3723</v>
      </c>
      <c r="C771" s="48" t="s">
        <v>3724</v>
      </c>
      <c r="D771" s="50" t="str">
        <f>IFERROR(__xludf.DUMMYFUNCTION("""COMPUTED_VALUE"""),"Sol")</f>
        <v>Sol</v>
      </c>
      <c r="E771" s="50"/>
      <c r="F771" s="50"/>
      <c r="G771" s="50"/>
      <c r="H771" s="50" t="s">
        <v>1710</v>
      </c>
      <c r="I771" s="50"/>
      <c r="J771" s="50"/>
      <c r="K771" s="50" t="s">
        <v>3656</v>
      </c>
      <c r="L771" s="50" t="s">
        <v>3717</v>
      </c>
      <c r="M771" s="50"/>
      <c r="N771" s="50"/>
      <c r="O771" s="50"/>
      <c r="P771" s="50"/>
      <c r="Q771" s="50"/>
      <c r="R771" s="50"/>
      <c r="S771" s="50"/>
      <c r="T771" s="50"/>
      <c r="U771" s="50"/>
      <c r="V771" s="50"/>
      <c r="W771" s="50"/>
      <c r="X771" s="50"/>
      <c r="Y771" s="50"/>
      <c r="Z771" s="50"/>
      <c r="AA771" s="50"/>
      <c r="AB771" s="50"/>
      <c r="AC771" s="50"/>
    </row>
    <row r="772">
      <c r="A772" s="48" t="s">
        <v>3690</v>
      </c>
      <c r="B772" s="49" t="s">
        <v>3725</v>
      </c>
      <c r="C772" s="48" t="s">
        <v>3675</v>
      </c>
      <c r="D772" s="50" t="str">
        <f>IFERROR(__xludf.DUMMYFUNCTION("""COMPUTED_VALUE"""),"Sachet")</f>
        <v>Sachet</v>
      </c>
      <c r="E772" s="50"/>
      <c r="F772" s="50"/>
      <c r="G772" s="50"/>
      <c r="H772" s="50" t="s">
        <v>1710</v>
      </c>
      <c r="I772" s="50"/>
      <c r="J772" s="50"/>
      <c r="K772" s="50" t="s">
        <v>3656</v>
      </c>
      <c r="L772" s="50" t="s">
        <v>3726</v>
      </c>
      <c r="M772" s="50"/>
      <c r="N772" s="50"/>
      <c r="O772" s="50"/>
      <c r="P772" s="50"/>
      <c r="Q772" s="50"/>
      <c r="R772" s="50"/>
      <c r="S772" s="50"/>
      <c r="T772" s="50"/>
      <c r="U772" s="50"/>
      <c r="V772" s="50"/>
      <c r="W772" s="50"/>
      <c r="X772" s="50"/>
      <c r="Y772" s="50"/>
      <c r="Z772" s="50"/>
      <c r="AA772" s="50"/>
      <c r="AB772" s="50"/>
      <c r="AC772" s="50"/>
    </row>
    <row r="773">
      <c r="A773" s="48" t="s">
        <v>3690</v>
      </c>
      <c r="B773" s="49" t="s">
        <v>3727</v>
      </c>
      <c r="C773" s="48" t="s">
        <v>3677</v>
      </c>
      <c r="D773" s="50" t="str">
        <f>IFERROR(__xludf.DUMMYFUNCTION("""COMPUTED_VALUE"""),"Sac Long")</f>
        <v>Sac Long</v>
      </c>
      <c r="E773" s="50"/>
      <c r="F773" s="50"/>
      <c r="G773" s="50"/>
      <c r="H773" s="50" t="s">
        <v>1710</v>
      </c>
      <c r="I773" s="50"/>
      <c r="J773" s="50"/>
      <c r="K773" s="50" t="s">
        <v>3656</v>
      </c>
      <c r="L773" s="50" t="s">
        <v>3726</v>
      </c>
      <c r="M773" s="50"/>
      <c r="N773" s="50"/>
      <c r="O773" s="50"/>
      <c r="P773" s="50"/>
      <c r="Q773" s="50"/>
      <c r="R773" s="50"/>
      <c r="S773" s="50"/>
      <c r="T773" s="50"/>
      <c r="U773" s="50"/>
      <c r="V773" s="50"/>
      <c r="W773" s="50"/>
      <c r="X773" s="50"/>
      <c r="Y773" s="50"/>
      <c r="Z773" s="50"/>
      <c r="AA773" s="50"/>
      <c r="AB773" s="50"/>
      <c r="AC773" s="50"/>
    </row>
    <row r="774">
      <c r="A774" s="48" t="s">
        <v>3690</v>
      </c>
      <c r="B774" s="49" t="s">
        <v>3728</v>
      </c>
      <c r="C774" s="48" t="s">
        <v>3679</v>
      </c>
      <c r="D774" s="50" t="str">
        <f>IFERROR(__xludf.DUMMYFUNCTION("""COMPUTED_VALUE"""),"Grand Sac")</f>
        <v>Grand Sac</v>
      </c>
      <c r="E774" s="50"/>
      <c r="F774" s="50"/>
      <c r="G774" s="50"/>
      <c r="H774" s="50" t="s">
        <v>1710</v>
      </c>
      <c r="I774" s="50"/>
      <c r="J774" s="50"/>
      <c r="K774" s="50" t="s">
        <v>3656</v>
      </c>
      <c r="L774" s="50" t="s">
        <v>3726</v>
      </c>
      <c r="M774" s="50"/>
      <c r="N774" s="50"/>
      <c r="O774" s="50"/>
      <c r="P774" s="50"/>
      <c r="Q774" s="50"/>
      <c r="R774" s="50"/>
      <c r="S774" s="50"/>
      <c r="T774" s="50"/>
      <c r="U774" s="50"/>
      <c r="V774" s="50"/>
      <c r="W774" s="50"/>
      <c r="X774" s="50"/>
      <c r="Y774" s="50"/>
      <c r="Z774" s="50"/>
      <c r="AA774" s="50"/>
      <c r="AB774" s="50"/>
      <c r="AC774" s="50"/>
    </row>
    <row r="775">
      <c r="A775" s="48" t="s">
        <v>3690</v>
      </c>
      <c r="B775" s="49" t="s">
        <v>3729</v>
      </c>
      <c r="C775" s="48" t="s">
        <v>15</v>
      </c>
      <c r="D775" s="50" t="str">
        <f>IFERROR(__xludf.DUMMYFUNCTION("""COMPUTED_VALUE"""),"Seau De 10 L")</f>
        <v>Seau De 10 L</v>
      </c>
      <c r="E775" s="50"/>
      <c r="F775" s="50"/>
      <c r="G775" s="50"/>
      <c r="H775" s="50" t="s">
        <v>1710</v>
      </c>
      <c r="I775" s="50"/>
      <c r="J775" s="50"/>
      <c r="K775" s="50" t="s">
        <v>3656</v>
      </c>
      <c r="L775" s="50" t="s">
        <v>3726</v>
      </c>
      <c r="M775" s="50"/>
      <c r="N775" s="50"/>
      <c r="O775" s="50"/>
      <c r="P775" s="50"/>
      <c r="Q775" s="50"/>
      <c r="R775" s="50"/>
      <c r="S775" s="50"/>
      <c r="T775" s="50"/>
      <c r="U775" s="50"/>
      <c r="V775" s="50"/>
      <c r="W775" s="50"/>
      <c r="X775" s="50"/>
      <c r="Y775" s="50"/>
      <c r="Z775" s="50"/>
      <c r="AA775" s="50"/>
      <c r="AB775" s="50"/>
      <c r="AC775" s="50"/>
    </row>
    <row r="776">
      <c r="A776" s="48" t="s">
        <v>3690</v>
      </c>
      <c r="B776" s="49" t="s">
        <v>3730</v>
      </c>
      <c r="C776" s="48" t="s">
        <v>18</v>
      </c>
      <c r="D776" s="50" t="str">
        <f>IFERROR(__xludf.DUMMYFUNCTION("""COMPUTED_VALUE"""),"Seau De 25 L")</f>
        <v>Seau De 25 L</v>
      </c>
      <c r="E776" s="50"/>
      <c r="F776" s="50"/>
      <c r="G776" s="50"/>
      <c r="H776" s="50" t="s">
        <v>1710</v>
      </c>
      <c r="I776" s="50"/>
      <c r="J776" s="50"/>
      <c r="K776" s="50" t="s">
        <v>3656</v>
      </c>
      <c r="L776" s="50" t="s">
        <v>3726</v>
      </c>
      <c r="M776" s="50"/>
      <c r="N776" s="50"/>
      <c r="O776" s="50"/>
      <c r="P776" s="50"/>
      <c r="Q776" s="50"/>
      <c r="R776" s="50"/>
      <c r="S776" s="50"/>
      <c r="T776" s="50"/>
      <c r="U776" s="50"/>
      <c r="V776" s="50"/>
      <c r="W776" s="50"/>
      <c r="X776" s="50"/>
      <c r="Y776" s="50"/>
      <c r="Z776" s="50"/>
      <c r="AA776" s="50"/>
      <c r="AB776" s="50"/>
      <c r="AC776" s="50"/>
    </row>
    <row r="777">
      <c r="A777" s="48" t="s">
        <v>3690</v>
      </c>
      <c r="B777" s="49" t="s">
        <v>3731</v>
      </c>
      <c r="C777" s="48" t="s">
        <v>3683</v>
      </c>
      <c r="D777" s="50" t="str">
        <f>IFERROR(__xludf.DUMMYFUNCTION("""COMPUTED_VALUE"""),"Sac Coyah")</f>
        <v>Sac Coyah</v>
      </c>
      <c r="E777" s="50"/>
      <c r="F777" s="50"/>
      <c r="G777" s="50"/>
      <c r="H777" s="50" t="s">
        <v>1710</v>
      </c>
      <c r="I777" s="50"/>
      <c r="J777" s="50"/>
      <c r="K777" s="50" t="s">
        <v>3656</v>
      </c>
      <c r="L777" s="50" t="s">
        <v>3726</v>
      </c>
      <c r="M777" s="50"/>
      <c r="N777" s="50"/>
      <c r="O777" s="50"/>
      <c r="P777" s="50"/>
      <c r="Q777" s="50"/>
      <c r="R777" s="50"/>
      <c r="S777" s="50"/>
      <c r="T777" s="50"/>
      <c r="U777" s="50"/>
      <c r="V777" s="50"/>
      <c r="W777" s="50"/>
      <c r="X777" s="50"/>
      <c r="Y777" s="50"/>
      <c r="Z777" s="50"/>
      <c r="AA777" s="50"/>
      <c r="AB777" s="50"/>
      <c r="AC777" s="50"/>
    </row>
    <row r="778">
      <c r="A778" s="48" t="s">
        <v>3690</v>
      </c>
      <c r="B778" s="49" t="s">
        <v>3732</v>
      </c>
      <c r="C778" s="48" t="s">
        <v>3724</v>
      </c>
      <c r="D778" s="50" t="str">
        <f>IFERROR(__xludf.DUMMYFUNCTION("""COMPUTED_VALUE"""),"Sol")</f>
        <v>Sol</v>
      </c>
      <c r="E778" s="50"/>
      <c r="F778" s="50"/>
      <c r="G778" s="50"/>
      <c r="H778" s="50" t="s">
        <v>1710</v>
      </c>
      <c r="I778" s="50"/>
      <c r="J778" s="50"/>
      <c r="K778" s="50" t="s">
        <v>3656</v>
      </c>
      <c r="L778" s="50" t="s">
        <v>3726</v>
      </c>
      <c r="M778" s="50"/>
      <c r="N778" s="50"/>
      <c r="O778" s="50"/>
      <c r="P778" s="50"/>
      <c r="Q778" s="50"/>
      <c r="R778" s="50"/>
      <c r="S778" s="50"/>
      <c r="T778" s="50"/>
      <c r="U778" s="50"/>
      <c r="V778" s="50"/>
      <c r="W778" s="50"/>
      <c r="X778" s="50"/>
      <c r="Y778" s="50"/>
      <c r="Z778" s="50"/>
      <c r="AA778" s="50"/>
      <c r="AB778" s="50"/>
      <c r="AC778" s="50"/>
    </row>
    <row r="779">
      <c r="A779" s="48" t="s">
        <v>3690</v>
      </c>
      <c r="B779" s="49" t="s">
        <v>3733</v>
      </c>
      <c r="C779" s="48" t="s">
        <v>3675</v>
      </c>
      <c r="D779" s="50" t="str">
        <f>IFERROR(__xludf.DUMMYFUNCTION("""COMPUTED_VALUE"""),"Sachet")</f>
        <v>Sachet</v>
      </c>
      <c r="E779" s="50"/>
      <c r="F779" s="50"/>
      <c r="G779" s="50"/>
      <c r="H779" s="50" t="s">
        <v>1710</v>
      </c>
      <c r="I779" s="50"/>
      <c r="J779" s="50"/>
      <c r="K779" s="50" t="s">
        <v>3656</v>
      </c>
      <c r="L779" s="50" t="s">
        <v>3734</v>
      </c>
      <c r="M779" s="50"/>
      <c r="N779" s="50"/>
      <c r="O779" s="50"/>
      <c r="P779" s="50"/>
      <c r="Q779" s="50"/>
      <c r="R779" s="50"/>
      <c r="S779" s="50"/>
      <c r="T779" s="50"/>
      <c r="U779" s="50"/>
      <c r="V779" s="50"/>
      <c r="W779" s="50"/>
      <c r="X779" s="50"/>
      <c r="Y779" s="50"/>
      <c r="Z779" s="50"/>
      <c r="AA779" s="50"/>
      <c r="AB779" s="50"/>
      <c r="AC779" s="50"/>
    </row>
    <row r="780">
      <c r="A780" s="48" t="s">
        <v>3690</v>
      </c>
      <c r="B780" s="49" t="s">
        <v>3735</v>
      </c>
      <c r="C780" s="48" t="s">
        <v>3677</v>
      </c>
      <c r="D780" s="50" t="str">
        <f>IFERROR(__xludf.DUMMYFUNCTION("""COMPUTED_VALUE"""),"Sac Long")</f>
        <v>Sac Long</v>
      </c>
      <c r="E780" s="50"/>
      <c r="F780" s="50"/>
      <c r="G780" s="50"/>
      <c r="H780" s="50" t="s">
        <v>1710</v>
      </c>
      <c r="I780" s="50"/>
      <c r="J780" s="50"/>
      <c r="K780" s="50" t="s">
        <v>3656</v>
      </c>
      <c r="L780" s="50" t="s">
        <v>3734</v>
      </c>
      <c r="M780" s="50"/>
      <c r="N780" s="50"/>
      <c r="O780" s="50"/>
      <c r="P780" s="50"/>
      <c r="Q780" s="50"/>
      <c r="R780" s="50"/>
      <c r="S780" s="50"/>
      <c r="T780" s="50"/>
      <c r="U780" s="50"/>
      <c r="V780" s="50"/>
      <c r="W780" s="50"/>
      <c r="X780" s="50"/>
      <c r="Y780" s="50"/>
      <c r="Z780" s="50"/>
      <c r="AA780" s="50"/>
      <c r="AB780" s="50"/>
      <c r="AC780" s="50"/>
    </row>
    <row r="781">
      <c r="A781" s="48" t="s">
        <v>3690</v>
      </c>
      <c r="B781" s="49" t="s">
        <v>3736</v>
      </c>
      <c r="C781" s="48" t="s">
        <v>3679</v>
      </c>
      <c r="D781" s="50" t="str">
        <f>IFERROR(__xludf.DUMMYFUNCTION("""COMPUTED_VALUE"""),"Grand Sac")</f>
        <v>Grand Sac</v>
      </c>
      <c r="E781" s="50"/>
      <c r="F781" s="50"/>
      <c r="G781" s="50"/>
      <c r="H781" s="50" t="s">
        <v>1710</v>
      </c>
      <c r="I781" s="50"/>
      <c r="J781" s="50"/>
      <c r="K781" s="50" t="s">
        <v>3656</v>
      </c>
      <c r="L781" s="50" t="s">
        <v>3734</v>
      </c>
      <c r="M781" s="50"/>
      <c r="N781" s="50"/>
      <c r="O781" s="50"/>
      <c r="P781" s="50"/>
      <c r="Q781" s="50"/>
      <c r="R781" s="50"/>
      <c r="S781" s="50"/>
      <c r="T781" s="50"/>
      <c r="U781" s="50"/>
      <c r="V781" s="50"/>
      <c r="W781" s="50"/>
      <c r="X781" s="50"/>
      <c r="Y781" s="50"/>
      <c r="Z781" s="50"/>
      <c r="AA781" s="50"/>
      <c r="AB781" s="50"/>
      <c r="AC781" s="50"/>
    </row>
    <row r="782">
      <c r="A782" s="48" t="s">
        <v>3690</v>
      </c>
      <c r="B782" s="49" t="s">
        <v>3737</v>
      </c>
      <c r="C782" s="48" t="s">
        <v>15</v>
      </c>
      <c r="D782" s="50" t="str">
        <f>IFERROR(__xludf.DUMMYFUNCTION("""COMPUTED_VALUE"""),"Seau De 10 L")</f>
        <v>Seau De 10 L</v>
      </c>
      <c r="E782" s="50"/>
      <c r="F782" s="50"/>
      <c r="G782" s="50"/>
      <c r="H782" s="50" t="s">
        <v>1710</v>
      </c>
      <c r="I782" s="50"/>
      <c r="J782" s="50"/>
      <c r="K782" s="50" t="s">
        <v>3656</v>
      </c>
      <c r="L782" s="50" t="s">
        <v>3734</v>
      </c>
      <c r="M782" s="50"/>
      <c r="N782" s="50"/>
      <c r="O782" s="50"/>
      <c r="P782" s="50"/>
      <c r="Q782" s="50"/>
      <c r="R782" s="50"/>
      <c r="S782" s="50"/>
      <c r="T782" s="50"/>
      <c r="U782" s="50"/>
      <c r="V782" s="50"/>
      <c r="W782" s="50"/>
      <c r="X782" s="50"/>
      <c r="Y782" s="50"/>
      <c r="Z782" s="50"/>
      <c r="AA782" s="50"/>
      <c r="AB782" s="50"/>
      <c r="AC782" s="50"/>
    </row>
    <row r="783">
      <c r="A783" s="48" t="s">
        <v>3690</v>
      </c>
      <c r="B783" s="49" t="s">
        <v>3738</v>
      </c>
      <c r="C783" s="48" t="s">
        <v>18</v>
      </c>
      <c r="D783" s="50" t="str">
        <f>IFERROR(__xludf.DUMMYFUNCTION("""COMPUTED_VALUE"""),"Seau De 25 L")</f>
        <v>Seau De 25 L</v>
      </c>
      <c r="E783" s="50"/>
      <c r="F783" s="50"/>
      <c r="G783" s="50"/>
      <c r="H783" s="50" t="s">
        <v>1710</v>
      </c>
      <c r="I783" s="50"/>
      <c r="J783" s="50"/>
      <c r="K783" s="50" t="s">
        <v>3656</v>
      </c>
      <c r="L783" s="50" t="s">
        <v>3734</v>
      </c>
      <c r="M783" s="50"/>
      <c r="N783" s="50"/>
      <c r="O783" s="50"/>
      <c r="P783" s="50"/>
      <c r="Q783" s="50"/>
      <c r="R783" s="50"/>
      <c r="S783" s="50"/>
      <c r="T783" s="50"/>
      <c r="U783" s="50"/>
      <c r="V783" s="50"/>
      <c r="W783" s="50"/>
      <c r="X783" s="50"/>
      <c r="Y783" s="50"/>
      <c r="Z783" s="50"/>
      <c r="AA783" s="50"/>
      <c r="AB783" s="50"/>
      <c r="AC783" s="50"/>
    </row>
    <row r="784">
      <c r="A784" s="48" t="s">
        <v>3690</v>
      </c>
      <c r="B784" s="49" t="s">
        <v>3739</v>
      </c>
      <c r="C784" s="48" t="s">
        <v>3683</v>
      </c>
      <c r="D784" s="50" t="str">
        <f>IFERROR(__xludf.DUMMYFUNCTION("""COMPUTED_VALUE"""),"Sac Coyah")</f>
        <v>Sac Coyah</v>
      </c>
      <c r="E784" s="50"/>
      <c r="F784" s="50"/>
      <c r="G784" s="50"/>
      <c r="H784" s="50" t="s">
        <v>1710</v>
      </c>
      <c r="I784" s="50"/>
      <c r="J784" s="50"/>
      <c r="K784" s="50" t="s">
        <v>3656</v>
      </c>
      <c r="L784" s="50" t="s">
        <v>3734</v>
      </c>
      <c r="M784" s="50"/>
      <c r="N784" s="50"/>
      <c r="O784" s="50"/>
      <c r="P784" s="50"/>
      <c r="Q784" s="50"/>
      <c r="R784" s="50"/>
      <c r="S784" s="50"/>
      <c r="T784" s="50"/>
      <c r="U784" s="50"/>
      <c r="V784" s="50"/>
      <c r="W784" s="50"/>
      <c r="X784" s="50"/>
      <c r="Y784" s="50"/>
      <c r="Z784" s="50"/>
      <c r="AA784" s="50"/>
      <c r="AB784" s="50"/>
      <c r="AC784" s="50"/>
    </row>
    <row r="785">
      <c r="A785" s="48" t="s">
        <v>3690</v>
      </c>
      <c r="B785" s="49" t="s">
        <v>3740</v>
      </c>
      <c r="C785" s="48" t="s">
        <v>3724</v>
      </c>
      <c r="D785" s="50" t="str">
        <f>IFERROR(__xludf.DUMMYFUNCTION("""COMPUTED_VALUE"""),"Sol")</f>
        <v>Sol</v>
      </c>
      <c r="E785" s="50"/>
      <c r="F785" s="50"/>
      <c r="G785" s="50"/>
      <c r="H785" s="50" t="s">
        <v>1710</v>
      </c>
      <c r="I785" s="50"/>
      <c r="J785" s="50"/>
      <c r="K785" s="50" t="s">
        <v>3656</v>
      </c>
      <c r="L785" s="50" t="s">
        <v>3734</v>
      </c>
      <c r="M785" s="50"/>
      <c r="N785" s="50"/>
      <c r="O785" s="50"/>
      <c r="P785" s="50"/>
      <c r="Q785" s="50"/>
      <c r="R785" s="50"/>
      <c r="S785" s="50"/>
      <c r="T785" s="50"/>
      <c r="U785" s="50"/>
      <c r="V785" s="50"/>
      <c r="W785" s="50"/>
      <c r="X785" s="50"/>
      <c r="Y785" s="50"/>
      <c r="Z785" s="50"/>
      <c r="AA785" s="50"/>
      <c r="AB785" s="50"/>
      <c r="AC785" s="50"/>
    </row>
    <row r="786">
      <c r="A786" s="48" t="s">
        <v>3690</v>
      </c>
      <c r="B786" s="49" t="s">
        <v>3741</v>
      </c>
      <c r="C786" s="48" t="s">
        <v>3677</v>
      </c>
      <c r="D786" s="50" t="str">
        <f>IFERROR(__xludf.DUMMYFUNCTION("""COMPUTED_VALUE"""),"Sac Long")</f>
        <v>Sac Long</v>
      </c>
      <c r="E786" s="50"/>
      <c r="F786" s="50"/>
      <c r="G786" s="50"/>
      <c r="H786" s="50" t="s">
        <v>1710</v>
      </c>
      <c r="I786" s="50"/>
      <c r="J786" s="50"/>
      <c r="K786" s="50" t="s">
        <v>3656</v>
      </c>
      <c r="L786" s="50" t="s">
        <v>3742</v>
      </c>
      <c r="M786" s="50"/>
      <c r="N786" s="50"/>
      <c r="O786" s="50"/>
      <c r="P786" s="50"/>
      <c r="Q786" s="50"/>
      <c r="R786" s="50"/>
      <c r="S786" s="50"/>
      <c r="T786" s="50"/>
      <c r="U786" s="50"/>
      <c r="V786" s="50"/>
      <c r="W786" s="50"/>
      <c r="X786" s="50"/>
      <c r="Y786" s="50"/>
      <c r="Z786" s="50"/>
      <c r="AA786" s="50"/>
      <c r="AB786" s="50"/>
      <c r="AC786" s="50"/>
    </row>
    <row r="787">
      <c r="A787" s="48" t="s">
        <v>3690</v>
      </c>
      <c r="B787" s="49" t="s">
        <v>3743</v>
      </c>
      <c r="C787" s="48" t="s">
        <v>3679</v>
      </c>
      <c r="D787" s="50" t="str">
        <f>IFERROR(__xludf.DUMMYFUNCTION("""COMPUTED_VALUE"""),"Grand Sac")</f>
        <v>Grand Sac</v>
      </c>
      <c r="E787" s="50"/>
      <c r="F787" s="50"/>
      <c r="G787" s="50"/>
      <c r="H787" s="50" t="s">
        <v>1710</v>
      </c>
      <c r="I787" s="50"/>
      <c r="J787" s="50"/>
      <c r="K787" s="50" t="s">
        <v>3656</v>
      </c>
      <c r="L787" s="50" t="s">
        <v>3742</v>
      </c>
      <c r="M787" s="50"/>
      <c r="N787" s="50"/>
      <c r="O787" s="50"/>
      <c r="P787" s="50"/>
      <c r="Q787" s="50"/>
      <c r="R787" s="50"/>
      <c r="S787" s="50"/>
      <c r="T787" s="50"/>
      <c r="U787" s="50"/>
      <c r="V787" s="50"/>
      <c r="W787" s="50"/>
      <c r="X787" s="50"/>
      <c r="Y787" s="50"/>
      <c r="Z787" s="50"/>
      <c r="AA787" s="50"/>
      <c r="AB787" s="50"/>
      <c r="AC787" s="50"/>
    </row>
    <row r="788">
      <c r="A788" s="48" t="s">
        <v>3690</v>
      </c>
      <c r="B788" s="49" t="s">
        <v>3744</v>
      </c>
      <c r="C788" s="48" t="s">
        <v>15</v>
      </c>
      <c r="D788" s="50" t="str">
        <f>IFERROR(__xludf.DUMMYFUNCTION("""COMPUTED_VALUE"""),"Seau De 10 L")</f>
        <v>Seau De 10 L</v>
      </c>
      <c r="E788" s="50"/>
      <c r="F788" s="50"/>
      <c r="G788" s="50"/>
      <c r="H788" s="50" t="s">
        <v>1710</v>
      </c>
      <c r="I788" s="50"/>
      <c r="J788" s="50"/>
      <c r="K788" s="50" t="s">
        <v>3656</v>
      </c>
      <c r="L788" s="50" t="s">
        <v>3742</v>
      </c>
      <c r="M788" s="50"/>
      <c r="N788" s="50"/>
      <c r="O788" s="50"/>
      <c r="P788" s="50"/>
      <c r="Q788" s="50"/>
      <c r="R788" s="50"/>
      <c r="S788" s="50"/>
      <c r="T788" s="50"/>
      <c r="U788" s="50"/>
      <c r="V788" s="50"/>
      <c r="W788" s="50"/>
      <c r="X788" s="50"/>
      <c r="Y788" s="50"/>
      <c r="Z788" s="50"/>
      <c r="AA788" s="50"/>
      <c r="AB788" s="50"/>
      <c r="AC788" s="50"/>
    </row>
    <row r="789">
      <c r="A789" s="48" t="s">
        <v>3690</v>
      </c>
      <c r="B789" s="49" t="s">
        <v>3745</v>
      </c>
      <c r="C789" s="48" t="s">
        <v>18</v>
      </c>
      <c r="D789" s="50" t="str">
        <f>IFERROR(__xludf.DUMMYFUNCTION("""COMPUTED_VALUE"""),"Seau De 25 L")</f>
        <v>Seau De 25 L</v>
      </c>
      <c r="E789" s="50"/>
      <c r="F789" s="50"/>
      <c r="G789" s="50"/>
      <c r="H789" s="50" t="s">
        <v>1710</v>
      </c>
      <c r="I789" s="50"/>
      <c r="J789" s="50"/>
      <c r="K789" s="50" t="s">
        <v>3656</v>
      </c>
      <c r="L789" s="50" t="s">
        <v>3742</v>
      </c>
      <c r="M789" s="50"/>
      <c r="N789" s="50"/>
      <c r="O789" s="50"/>
      <c r="P789" s="50"/>
      <c r="Q789" s="50"/>
      <c r="R789" s="50"/>
      <c r="S789" s="50"/>
      <c r="T789" s="50"/>
      <c r="U789" s="50"/>
      <c r="V789" s="50"/>
      <c r="W789" s="50"/>
      <c r="X789" s="50"/>
      <c r="Y789" s="50"/>
      <c r="Z789" s="50"/>
      <c r="AA789" s="50"/>
      <c r="AB789" s="50"/>
      <c r="AC789" s="50"/>
    </row>
    <row r="790">
      <c r="A790" s="48" t="s">
        <v>3690</v>
      </c>
      <c r="B790" s="49" t="s">
        <v>3746</v>
      </c>
      <c r="C790" s="48" t="s">
        <v>3724</v>
      </c>
      <c r="D790" s="50" t="str">
        <f>IFERROR(__xludf.DUMMYFUNCTION("""COMPUTED_VALUE"""),"Sol")</f>
        <v>Sol</v>
      </c>
      <c r="E790" s="50"/>
      <c r="F790" s="50"/>
      <c r="G790" s="50"/>
      <c r="H790" s="50" t="s">
        <v>1710</v>
      </c>
      <c r="I790" s="50"/>
      <c r="J790" s="50"/>
      <c r="K790" s="50" t="s">
        <v>3656</v>
      </c>
      <c r="L790" s="50" t="s">
        <v>3742</v>
      </c>
      <c r="M790" s="50"/>
      <c r="N790" s="50"/>
      <c r="O790" s="50"/>
      <c r="P790" s="50"/>
      <c r="Q790" s="50"/>
      <c r="R790" s="50"/>
      <c r="S790" s="50"/>
      <c r="T790" s="50"/>
      <c r="U790" s="50"/>
      <c r="V790" s="50"/>
      <c r="W790" s="50"/>
      <c r="X790" s="50"/>
      <c r="Y790" s="50"/>
      <c r="Z790" s="50"/>
      <c r="AA790" s="50"/>
      <c r="AB790" s="50"/>
      <c r="AC790" s="50"/>
    </row>
    <row r="791">
      <c r="A791" s="48" t="s">
        <v>3690</v>
      </c>
      <c r="B791" s="49" t="s">
        <v>3747</v>
      </c>
      <c r="C791" s="48" t="s">
        <v>3679</v>
      </c>
      <c r="D791" s="50" t="str">
        <f>IFERROR(__xludf.DUMMYFUNCTION("""COMPUTED_VALUE"""),"Grand Sac")</f>
        <v>Grand Sac</v>
      </c>
      <c r="E791" s="50"/>
      <c r="F791" s="50"/>
      <c r="G791" s="50"/>
      <c r="H791" s="50" t="s">
        <v>1710</v>
      </c>
      <c r="I791" s="50"/>
      <c r="J791" s="50"/>
      <c r="K791" s="50" t="s">
        <v>3656</v>
      </c>
      <c r="L791" s="50" t="s">
        <v>3748</v>
      </c>
      <c r="M791" s="50"/>
      <c r="N791" s="50"/>
      <c r="O791" s="50"/>
      <c r="P791" s="50"/>
      <c r="Q791" s="50"/>
      <c r="R791" s="50"/>
      <c r="S791" s="50"/>
      <c r="T791" s="50"/>
      <c r="U791" s="50"/>
      <c r="V791" s="50"/>
      <c r="W791" s="50"/>
      <c r="X791" s="50"/>
      <c r="Y791" s="50"/>
      <c r="Z791" s="50"/>
      <c r="AA791" s="50"/>
      <c r="AB791" s="50"/>
      <c r="AC791" s="50"/>
    </row>
    <row r="792">
      <c r="A792" s="48" t="s">
        <v>3690</v>
      </c>
      <c r="B792" s="49" t="s">
        <v>3749</v>
      </c>
      <c r="C792" s="48" t="s">
        <v>18</v>
      </c>
      <c r="D792" s="50" t="str">
        <f>IFERROR(__xludf.DUMMYFUNCTION("""COMPUTED_VALUE"""),"Seau De 25 L")</f>
        <v>Seau De 25 L</v>
      </c>
      <c r="E792" s="50"/>
      <c r="F792" s="50"/>
      <c r="G792" s="50"/>
      <c r="H792" s="50" t="s">
        <v>1710</v>
      </c>
      <c r="I792" s="50"/>
      <c r="J792" s="50"/>
      <c r="K792" s="50" t="s">
        <v>3656</v>
      </c>
      <c r="L792" s="50" t="s">
        <v>3748</v>
      </c>
      <c r="M792" s="50"/>
      <c r="N792" s="50"/>
      <c r="O792" s="50"/>
      <c r="P792" s="50"/>
      <c r="Q792" s="50"/>
      <c r="R792" s="50"/>
      <c r="S792" s="50"/>
      <c r="T792" s="50"/>
      <c r="U792" s="50"/>
      <c r="V792" s="50"/>
      <c r="W792" s="50"/>
      <c r="X792" s="50"/>
      <c r="Y792" s="50"/>
      <c r="Z792" s="50"/>
      <c r="AA792" s="50"/>
      <c r="AB792" s="50"/>
      <c r="AC792" s="50"/>
    </row>
    <row r="793">
      <c r="A793" s="48" t="s">
        <v>3690</v>
      </c>
      <c r="B793" s="49" t="s">
        <v>3750</v>
      </c>
      <c r="C793" s="48" t="s">
        <v>3724</v>
      </c>
      <c r="D793" s="50" t="str">
        <f>IFERROR(__xludf.DUMMYFUNCTION("""COMPUTED_VALUE"""),"Sol")</f>
        <v>Sol</v>
      </c>
      <c r="E793" s="50"/>
      <c r="F793" s="50"/>
      <c r="G793" s="50"/>
      <c r="H793" s="50" t="s">
        <v>1710</v>
      </c>
      <c r="I793" s="50"/>
      <c r="J793" s="50"/>
      <c r="K793" s="50" t="s">
        <v>3656</v>
      </c>
      <c r="L793" s="50" t="s">
        <v>3748</v>
      </c>
      <c r="M793" s="50"/>
      <c r="N793" s="50"/>
      <c r="O793" s="50"/>
      <c r="P793" s="50"/>
      <c r="Q793" s="50"/>
      <c r="R793" s="50"/>
      <c r="S793" s="50"/>
      <c r="T793" s="50"/>
      <c r="U793" s="50"/>
      <c r="V793" s="50"/>
      <c r="W793" s="50"/>
      <c r="X793" s="50"/>
      <c r="Y793" s="50"/>
      <c r="Z793" s="50"/>
      <c r="AA793" s="50"/>
      <c r="AB793" s="50"/>
      <c r="AC793" s="50"/>
    </row>
    <row r="794">
      <c r="A794" s="48" t="s">
        <v>3690</v>
      </c>
      <c r="B794" s="49" t="s">
        <v>3751</v>
      </c>
      <c r="C794" s="48" t="s">
        <v>18</v>
      </c>
      <c r="D794" s="50" t="str">
        <f>IFERROR(__xludf.DUMMYFUNCTION("""COMPUTED_VALUE"""),"Seau De 25 L")</f>
        <v>Seau De 25 L</v>
      </c>
      <c r="E794" s="50"/>
      <c r="F794" s="50"/>
      <c r="G794" s="50"/>
      <c r="H794" s="50" t="s">
        <v>1710</v>
      </c>
      <c r="I794" s="50"/>
      <c r="J794" s="50"/>
      <c r="K794" s="50" t="s">
        <v>3656</v>
      </c>
      <c r="L794" s="50" t="s">
        <v>3752</v>
      </c>
      <c r="M794" s="50"/>
      <c r="N794" s="50"/>
      <c r="O794" s="50"/>
      <c r="P794" s="50"/>
      <c r="Q794" s="50"/>
      <c r="R794" s="50"/>
      <c r="S794" s="50"/>
      <c r="T794" s="50"/>
      <c r="U794" s="50"/>
      <c r="V794" s="50"/>
      <c r="W794" s="50"/>
      <c r="X794" s="50"/>
      <c r="Y794" s="50"/>
      <c r="Z794" s="50"/>
      <c r="AA794" s="50"/>
      <c r="AB794" s="50"/>
      <c r="AC794" s="50"/>
    </row>
    <row r="795">
      <c r="A795" s="48" t="s">
        <v>3690</v>
      </c>
      <c r="B795" s="49" t="s">
        <v>3753</v>
      </c>
      <c r="C795" s="48" t="s">
        <v>3724</v>
      </c>
      <c r="D795" s="50" t="str">
        <f>IFERROR(__xludf.DUMMYFUNCTION("""COMPUTED_VALUE"""),"Sol")</f>
        <v>Sol</v>
      </c>
      <c r="E795" s="50"/>
      <c r="F795" s="50"/>
      <c r="G795" s="50"/>
      <c r="H795" s="50" t="s">
        <v>1710</v>
      </c>
      <c r="I795" s="50"/>
      <c r="J795" s="50"/>
      <c r="K795" s="50" t="s">
        <v>3656</v>
      </c>
      <c r="L795" s="50" t="s">
        <v>3752</v>
      </c>
      <c r="M795" s="50"/>
      <c r="N795" s="50"/>
      <c r="O795" s="50"/>
      <c r="P795" s="50"/>
      <c r="Q795" s="50"/>
      <c r="R795" s="50"/>
      <c r="S795" s="50"/>
      <c r="T795" s="50"/>
      <c r="U795" s="50"/>
      <c r="V795" s="50"/>
      <c r="W795" s="50"/>
      <c r="X795" s="50"/>
      <c r="Y795" s="50"/>
      <c r="Z795" s="50"/>
      <c r="AA795" s="50"/>
      <c r="AB795" s="50"/>
      <c r="AC795" s="50"/>
    </row>
    <row r="796">
      <c r="A796" s="48" t="s">
        <v>3690</v>
      </c>
      <c r="B796" s="49" t="s">
        <v>3754</v>
      </c>
      <c r="C796" s="48" t="s">
        <v>18</v>
      </c>
      <c r="D796" s="50" t="str">
        <f>IFERROR(__xludf.DUMMYFUNCTION("""COMPUTED_VALUE"""),"Seau De 25 L")</f>
        <v>Seau De 25 L</v>
      </c>
      <c r="E796" s="50"/>
      <c r="F796" s="50"/>
      <c r="G796" s="50"/>
      <c r="H796" s="50" t="s">
        <v>1710</v>
      </c>
      <c r="I796" s="50"/>
      <c r="J796" s="50"/>
      <c r="K796" s="50" t="s">
        <v>3656</v>
      </c>
      <c r="L796" s="50" t="s">
        <v>1955</v>
      </c>
      <c r="M796" s="50"/>
      <c r="N796" s="50"/>
      <c r="O796" s="50"/>
      <c r="P796" s="50"/>
      <c r="Q796" s="50"/>
      <c r="R796" s="50"/>
      <c r="S796" s="50"/>
      <c r="T796" s="50"/>
      <c r="U796" s="50"/>
      <c r="V796" s="50"/>
      <c r="W796" s="50"/>
      <c r="X796" s="50"/>
      <c r="Y796" s="50"/>
      <c r="Z796" s="50"/>
      <c r="AA796" s="50"/>
      <c r="AB796" s="50"/>
      <c r="AC796" s="50"/>
    </row>
    <row r="797">
      <c r="A797" s="48" t="s">
        <v>3690</v>
      </c>
      <c r="B797" s="49" t="s">
        <v>3755</v>
      </c>
      <c r="C797" s="48" t="s">
        <v>3724</v>
      </c>
      <c r="D797" s="50" t="str">
        <f>IFERROR(__xludf.DUMMYFUNCTION("""COMPUTED_VALUE"""),"Sol")</f>
        <v>Sol</v>
      </c>
      <c r="E797" s="50"/>
      <c r="F797" s="50"/>
      <c r="G797" s="50"/>
      <c r="H797" s="50" t="s">
        <v>1710</v>
      </c>
      <c r="I797" s="50"/>
      <c r="J797" s="50"/>
      <c r="K797" s="50" t="s">
        <v>3656</v>
      </c>
      <c r="L797" s="50" t="s">
        <v>1955</v>
      </c>
      <c r="M797" s="50"/>
      <c r="N797" s="50"/>
      <c r="O797" s="50"/>
      <c r="P797" s="50"/>
      <c r="Q797" s="50"/>
      <c r="R797" s="50"/>
      <c r="S797" s="50"/>
      <c r="T797" s="50"/>
      <c r="U797" s="50"/>
      <c r="V797" s="50"/>
      <c r="W797" s="50"/>
      <c r="X797" s="50"/>
      <c r="Y797" s="50"/>
      <c r="Z797" s="50"/>
      <c r="AA797" s="50"/>
      <c r="AB797" s="50"/>
      <c r="AC797" s="50"/>
    </row>
    <row r="798">
      <c r="A798" s="48" t="s">
        <v>3690</v>
      </c>
      <c r="B798" s="49" t="s">
        <v>3756</v>
      </c>
      <c r="C798" s="48" t="s">
        <v>3724</v>
      </c>
      <c r="D798" s="50" t="str">
        <f>IFERROR(__xludf.DUMMYFUNCTION("""COMPUTED_VALUE"""),"Sol")</f>
        <v>Sol</v>
      </c>
      <c r="E798" s="50"/>
      <c r="F798" s="50"/>
      <c r="G798" s="50"/>
      <c r="H798" s="50" t="s">
        <v>1710</v>
      </c>
      <c r="I798" s="50"/>
      <c r="J798" s="50"/>
      <c r="K798" s="50" t="s">
        <v>3656</v>
      </c>
      <c r="L798" s="50" t="s">
        <v>1971</v>
      </c>
      <c r="M798" s="50"/>
      <c r="N798" s="50"/>
      <c r="O798" s="50"/>
      <c r="P798" s="50"/>
      <c r="Q798" s="50"/>
      <c r="R798" s="50"/>
      <c r="S798" s="50"/>
      <c r="T798" s="50"/>
      <c r="U798" s="50"/>
      <c r="V798" s="50"/>
      <c r="W798" s="50"/>
      <c r="X798" s="50"/>
      <c r="Y798" s="50"/>
      <c r="Z798" s="50"/>
      <c r="AA798" s="50"/>
      <c r="AB798" s="50"/>
      <c r="AC798" s="50"/>
    </row>
    <row r="799">
      <c r="A799" s="48" t="s">
        <v>3690</v>
      </c>
      <c r="B799" s="49" t="s">
        <v>3757</v>
      </c>
      <c r="C799" s="48" t="s">
        <v>3675</v>
      </c>
      <c r="D799" s="50" t="str">
        <f>IFERROR(__xludf.DUMMYFUNCTION("""COMPUTED_VALUE"""),"Sachet")</f>
        <v>Sachet</v>
      </c>
      <c r="E799" s="50"/>
      <c r="F799" s="50"/>
      <c r="G799" s="50"/>
      <c r="H799" s="50" t="s">
        <v>1710</v>
      </c>
      <c r="I799" s="50"/>
      <c r="J799" s="50"/>
      <c r="K799" s="50" t="s">
        <v>3656</v>
      </c>
      <c r="L799" s="50" t="s">
        <v>3758</v>
      </c>
      <c r="M799" s="50"/>
      <c r="N799" s="50"/>
      <c r="O799" s="50"/>
      <c r="P799" s="50"/>
      <c r="Q799" s="50"/>
      <c r="R799" s="50"/>
      <c r="S799" s="50"/>
      <c r="T799" s="50"/>
      <c r="U799" s="50"/>
      <c r="V799" s="50"/>
      <c r="W799" s="50"/>
      <c r="X799" s="50"/>
      <c r="Y799" s="50"/>
      <c r="Z799" s="50"/>
      <c r="AA799" s="50"/>
      <c r="AB799" s="50"/>
      <c r="AC799" s="50"/>
    </row>
    <row r="800">
      <c r="A800" s="48" t="s">
        <v>3690</v>
      </c>
      <c r="B800" s="49" t="s">
        <v>3759</v>
      </c>
      <c r="C800" s="48" t="s">
        <v>3677</v>
      </c>
      <c r="D800" s="50" t="str">
        <f>IFERROR(__xludf.DUMMYFUNCTION("""COMPUTED_VALUE"""),"Sac Long")</f>
        <v>Sac Long</v>
      </c>
      <c r="E800" s="50"/>
      <c r="F800" s="50"/>
      <c r="G800" s="50"/>
      <c r="H800" s="50" t="s">
        <v>1710</v>
      </c>
      <c r="I800" s="50"/>
      <c r="J800" s="50"/>
      <c r="K800" s="50" t="s">
        <v>3656</v>
      </c>
      <c r="L800" s="50" t="s">
        <v>3758</v>
      </c>
      <c r="M800" s="50"/>
      <c r="N800" s="50"/>
      <c r="O800" s="50"/>
      <c r="P800" s="50"/>
      <c r="Q800" s="50"/>
      <c r="R800" s="50"/>
      <c r="S800" s="50"/>
      <c r="T800" s="50"/>
      <c r="U800" s="50"/>
      <c r="V800" s="50"/>
      <c r="W800" s="50"/>
      <c r="X800" s="50"/>
      <c r="Y800" s="50"/>
      <c r="Z800" s="50"/>
      <c r="AA800" s="50"/>
      <c r="AB800" s="50"/>
      <c r="AC800" s="50"/>
    </row>
    <row r="801">
      <c r="A801" s="48" t="s">
        <v>3690</v>
      </c>
      <c r="B801" s="49" t="s">
        <v>3760</v>
      </c>
      <c r="C801" s="48" t="s">
        <v>3679</v>
      </c>
      <c r="D801" s="50" t="str">
        <f>IFERROR(__xludf.DUMMYFUNCTION("""COMPUTED_VALUE"""),"Grand Sac")</f>
        <v>Grand Sac</v>
      </c>
      <c r="E801" s="50"/>
      <c r="F801" s="50"/>
      <c r="G801" s="50"/>
      <c r="H801" s="50" t="s">
        <v>1710</v>
      </c>
      <c r="I801" s="50"/>
      <c r="J801" s="50"/>
      <c r="K801" s="50" t="s">
        <v>3656</v>
      </c>
      <c r="L801" s="50" t="s">
        <v>3758</v>
      </c>
      <c r="M801" s="50"/>
      <c r="N801" s="50"/>
      <c r="O801" s="50"/>
      <c r="P801" s="50"/>
      <c r="Q801" s="50"/>
      <c r="R801" s="50"/>
      <c r="S801" s="50"/>
      <c r="T801" s="50"/>
      <c r="U801" s="50"/>
      <c r="V801" s="50"/>
      <c r="W801" s="50"/>
      <c r="X801" s="50"/>
      <c r="Y801" s="50"/>
      <c r="Z801" s="50"/>
      <c r="AA801" s="50"/>
      <c r="AB801" s="50"/>
      <c r="AC801" s="50"/>
    </row>
    <row r="802">
      <c r="A802" s="48" t="s">
        <v>3690</v>
      </c>
      <c r="B802" s="49" t="s">
        <v>3761</v>
      </c>
      <c r="C802" s="48" t="s">
        <v>15</v>
      </c>
      <c r="D802" s="50" t="str">
        <f>IFERROR(__xludf.DUMMYFUNCTION("""COMPUTED_VALUE"""),"Seau De 10 L")</f>
        <v>Seau De 10 L</v>
      </c>
      <c r="E802" s="50"/>
      <c r="F802" s="50"/>
      <c r="G802" s="50"/>
      <c r="H802" s="50" t="s">
        <v>1710</v>
      </c>
      <c r="I802" s="50"/>
      <c r="J802" s="50"/>
      <c r="K802" s="50" t="s">
        <v>3656</v>
      </c>
      <c r="L802" s="50" t="s">
        <v>3758</v>
      </c>
      <c r="M802" s="50"/>
      <c r="N802" s="50"/>
      <c r="O802" s="50"/>
      <c r="P802" s="50"/>
      <c r="Q802" s="50"/>
      <c r="R802" s="50"/>
      <c r="S802" s="50"/>
      <c r="T802" s="50"/>
      <c r="U802" s="50"/>
      <c r="V802" s="50"/>
      <c r="W802" s="50"/>
      <c r="X802" s="50"/>
      <c r="Y802" s="50"/>
      <c r="Z802" s="50"/>
      <c r="AA802" s="50"/>
      <c r="AB802" s="50"/>
      <c r="AC802" s="50"/>
    </row>
    <row r="803">
      <c r="A803" s="48" t="s">
        <v>3690</v>
      </c>
      <c r="B803" s="49" t="s">
        <v>3762</v>
      </c>
      <c r="C803" s="48" t="s">
        <v>18</v>
      </c>
      <c r="D803" s="50" t="str">
        <f>IFERROR(__xludf.DUMMYFUNCTION("""COMPUTED_VALUE"""),"Seau De 25 L")</f>
        <v>Seau De 25 L</v>
      </c>
      <c r="E803" s="50"/>
      <c r="F803" s="50"/>
      <c r="G803" s="50"/>
      <c r="H803" s="50" t="s">
        <v>1710</v>
      </c>
      <c r="I803" s="50"/>
      <c r="J803" s="50"/>
      <c r="K803" s="50" t="s">
        <v>3656</v>
      </c>
      <c r="L803" s="50" t="s">
        <v>3758</v>
      </c>
      <c r="M803" s="50"/>
      <c r="N803" s="50"/>
      <c r="O803" s="50"/>
      <c r="P803" s="50"/>
      <c r="Q803" s="50"/>
      <c r="R803" s="50"/>
      <c r="S803" s="50"/>
      <c r="T803" s="50"/>
      <c r="U803" s="50"/>
      <c r="V803" s="50"/>
      <c r="W803" s="50"/>
      <c r="X803" s="50"/>
      <c r="Y803" s="50"/>
      <c r="Z803" s="50"/>
      <c r="AA803" s="50"/>
      <c r="AB803" s="50"/>
      <c r="AC803" s="50"/>
    </row>
    <row r="804">
      <c r="A804" s="48" t="s">
        <v>3690</v>
      </c>
      <c r="B804" s="49" t="s">
        <v>3763</v>
      </c>
      <c r="C804" s="48" t="s">
        <v>3683</v>
      </c>
      <c r="D804" s="50" t="str">
        <f>IFERROR(__xludf.DUMMYFUNCTION("""COMPUTED_VALUE"""),"Sac Coyah")</f>
        <v>Sac Coyah</v>
      </c>
      <c r="E804" s="50"/>
      <c r="F804" s="50"/>
      <c r="G804" s="50"/>
      <c r="H804" s="50" t="s">
        <v>1710</v>
      </c>
      <c r="I804" s="50"/>
      <c r="J804" s="50"/>
      <c r="K804" s="50" t="s">
        <v>3656</v>
      </c>
      <c r="L804" s="50" t="s">
        <v>3758</v>
      </c>
      <c r="M804" s="50"/>
      <c r="N804" s="50"/>
      <c r="O804" s="50"/>
      <c r="P804" s="50"/>
      <c r="Q804" s="50"/>
      <c r="R804" s="50"/>
      <c r="S804" s="50"/>
      <c r="T804" s="50"/>
      <c r="U804" s="50"/>
      <c r="V804" s="50"/>
      <c r="W804" s="50"/>
      <c r="X804" s="50"/>
      <c r="Y804" s="50"/>
      <c r="Z804" s="50"/>
      <c r="AA804" s="50"/>
      <c r="AB804" s="50"/>
      <c r="AC804" s="50"/>
    </row>
    <row r="805">
      <c r="A805" s="48" t="s">
        <v>3690</v>
      </c>
      <c r="B805" s="49" t="s">
        <v>3764</v>
      </c>
      <c r="C805" s="48" t="s">
        <v>3724</v>
      </c>
      <c r="D805" s="50" t="str">
        <f>IFERROR(__xludf.DUMMYFUNCTION("""COMPUTED_VALUE"""),"Sol")</f>
        <v>Sol</v>
      </c>
      <c r="E805" s="50"/>
      <c r="F805" s="50"/>
      <c r="G805" s="50"/>
      <c r="H805" s="50" t="s">
        <v>1710</v>
      </c>
      <c r="I805" s="50"/>
      <c r="J805" s="50"/>
      <c r="K805" s="50" t="s">
        <v>3656</v>
      </c>
      <c r="L805" s="50" t="s">
        <v>3758</v>
      </c>
      <c r="M805" s="50"/>
      <c r="N805" s="50"/>
      <c r="O805" s="50"/>
      <c r="P805" s="50"/>
      <c r="Q805" s="50"/>
      <c r="R805" s="50"/>
      <c r="S805" s="50"/>
      <c r="T805" s="50"/>
      <c r="U805" s="50"/>
      <c r="V805" s="50"/>
      <c r="W805" s="50"/>
      <c r="X805" s="50"/>
      <c r="Y805" s="50"/>
      <c r="Z805" s="50"/>
      <c r="AA805" s="50"/>
      <c r="AB805" s="50"/>
      <c r="AC805" s="50"/>
    </row>
    <row r="806">
      <c r="A806" s="48" t="s">
        <v>3690</v>
      </c>
      <c r="B806" s="49" t="s">
        <v>3765</v>
      </c>
      <c r="C806" s="48" t="s">
        <v>3724</v>
      </c>
      <c r="D806" s="50" t="str">
        <f>IFERROR(__xludf.DUMMYFUNCTION("""COMPUTED_VALUE"""),"Sol")</f>
        <v>Sol</v>
      </c>
      <c r="E806" s="50"/>
      <c r="F806" s="50"/>
      <c r="G806" s="50"/>
      <c r="H806" s="50" t="s">
        <v>1710</v>
      </c>
      <c r="I806" s="50"/>
      <c r="J806" s="50"/>
      <c r="K806" s="50" t="s">
        <v>3659</v>
      </c>
      <c r="L806" s="50" t="s">
        <v>3742</v>
      </c>
      <c r="M806" s="50"/>
      <c r="N806" s="50"/>
      <c r="O806" s="50"/>
      <c r="P806" s="50"/>
      <c r="Q806" s="50"/>
      <c r="R806" s="50"/>
      <c r="S806" s="50"/>
      <c r="T806" s="50"/>
      <c r="U806" s="50"/>
      <c r="V806" s="50"/>
      <c r="W806" s="50"/>
      <c r="X806" s="50"/>
      <c r="Y806" s="50"/>
      <c r="Z806" s="50"/>
      <c r="AA806" s="50"/>
      <c r="AB806" s="50"/>
      <c r="AC806" s="50"/>
    </row>
    <row r="807">
      <c r="A807" s="48" t="s">
        <v>3690</v>
      </c>
      <c r="B807" s="49" t="s">
        <v>3766</v>
      </c>
      <c r="C807" s="48" t="s">
        <v>3724</v>
      </c>
      <c r="D807" s="50" t="str">
        <f>IFERROR(__xludf.DUMMYFUNCTION("""COMPUTED_VALUE"""),"Sol")</f>
        <v>Sol</v>
      </c>
      <c r="E807" s="50"/>
      <c r="F807" s="50"/>
      <c r="G807" s="50"/>
      <c r="H807" s="50" t="s">
        <v>1710</v>
      </c>
      <c r="I807" s="50"/>
      <c r="J807" s="50"/>
      <c r="K807" s="50" t="s">
        <v>3659</v>
      </c>
      <c r="L807" s="50" t="s">
        <v>3748</v>
      </c>
      <c r="M807" s="50"/>
      <c r="N807" s="50"/>
      <c r="O807" s="50"/>
      <c r="P807" s="50"/>
      <c r="Q807" s="50"/>
      <c r="R807" s="50"/>
      <c r="S807" s="50"/>
      <c r="T807" s="50"/>
      <c r="U807" s="50"/>
      <c r="V807" s="50"/>
      <c r="W807" s="50"/>
      <c r="X807" s="50"/>
      <c r="Y807" s="50"/>
      <c r="Z807" s="50"/>
      <c r="AA807" s="50"/>
      <c r="AB807" s="50"/>
      <c r="AC807" s="50"/>
    </row>
    <row r="808">
      <c r="A808" s="48" t="s">
        <v>3690</v>
      </c>
      <c r="B808" s="49" t="s">
        <v>3767</v>
      </c>
      <c r="C808" s="48" t="s">
        <v>3724</v>
      </c>
      <c r="D808" s="50" t="str">
        <f>IFERROR(__xludf.DUMMYFUNCTION("""COMPUTED_VALUE"""),"Sol")</f>
        <v>Sol</v>
      </c>
      <c r="E808" s="50"/>
      <c r="F808" s="50"/>
      <c r="G808" s="50"/>
      <c r="H808" s="50" t="s">
        <v>1710</v>
      </c>
      <c r="I808" s="50"/>
      <c r="J808" s="50"/>
      <c r="K808" s="50" t="s">
        <v>3659</v>
      </c>
      <c r="L808" s="50" t="s">
        <v>3752</v>
      </c>
      <c r="M808" s="50"/>
      <c r="N808" s="50"/>
      <c r="O808" s="50"/>
      <c r="P808" s="50"/>
      <c r="Q808" s="50"/>
      <c r="R808" s="50"/>
      <c r="S808" s="50"/>
      <c r="T808" s="50"/>
      <c r="U808" s="50"/>
      <c r="V808" s="50"/>
      <c r="W808" s="50"/>
      <c r="X808" s="50"/>
      <c r="Y808" s="50"/>
      <c r="Z808" s="50"/>
      <c r="AA808" s="50"/>
      <c r="AB808" s="50"/>
      <c r="AC808" s="50"/>
    </row>
    <row r="809">
      <c r="A809" s="48" t="s">
        <v>3690</v>
      </c>
      <c r="B809" s="49" t="s">
        <v>3768</v>
      </c>
      <c r="C809" s="48" t="s">
        <v>3724</v>
      </c>
      <c r="D809" s="50" t="str">
        <f>IFERROR(__xludf.DUMMYFUNCTION("""COMPUTED_VALUE"""),"Sol")</f>
        <v>Sol</v>
      </c>
      <c r="E809" s="50"/>
      <c r="F809" s="50"/>
      <c r="G809" s="50"/>
      <c r="H809" s="50" t="s">
        <v>1710</v>
      </c>
      <c r="I809" s="50"/>
      <c r="J809" s="50"/>
      <c r="K809" s="50" t="s">
        <v>3659</v>
      </c>
      <c r="L809" s="50" t="s">
        <v>1955</v>
      </c>
      <c r="M809" s="50"/>
      <c r="N809" s="50"/>
      <c r="O809" s="50"/>
      <c r="P809" s="50"/>
      <c r="Q809" s="50"/>
      <c r="R809" s="50"/>
      <c r="S809" s="50"/>
      <c r="T809" s="50"/>
      <c r="U809" s="50"/>
      <c r="V809" s="50"/>
      <c r="W809" s="50"/>
      <c r="X809" s="50"/>
      <c r="Y809" s="50"/>
      <c r="Z809" s="50"/>
      <c r="AA809" s="50"/>
      <c r="AB809" s="50"/>
      <c r="AC809" s="50"/>
    </row>
    <row r="810">
      <c r="A810" s="48" t="s">
        <v>3690</v>
      </c>
      <c r="B810" s="49" t="s">
        <v>3769</v>
      </c>
      <c r="C810" s="48" t="s">
        <v>3724</v>
      </c>
      <c r="D810" s="50" t="str">
        <f>IFERROR(__xludf.DUMMYFUNCTION("""COMPUTED_VALUE"""),"Sol")</f>
        <v>Sol</v>
      </c>
      <c r="E810" s="50"/>
      <c r="F810" s="50"/>
      <c r="G810" s="50"/>
      <c r="H810" s="50" t="s">
        <v>1710</v>
      </c>
      <c r="I810" s="50"/>
      <c r="J810" s="50"/>
      <c r="K810" s="50" t="s">
        <v>3659</v>
      </c>
      <c r="L810" s="50" t="s">
        <v>1971</v>
      </c>
      <c r="M810" s="50"/>
      <c r="N810" s="50"/>
      <c r="O810" s="50"/>
      <c r="P810" s="50"/>
      <c r="Q810" s="50"/>
      <c r="R810" s="50"/>
      <c r="S810" s="50"/>
      <c r="T810" s="50"/>
      <c r="U810" s="50"/>
      <c r="V810" s="50"/>
      <c r="W810" s="50"/>
      <c r="X810" s="50"/>
      <c r="Y810" s="50"/>
      <c r="Z810" s="50"/>
      <c r="AA810" s="50"/>
      <c r="AB810" s="50"/>
      <c r="AC810" s="50"/>
    </row>
    <row r="811">
      <c r="A811" s="48" t="s">
        <v>3690</v>
      </c>
      <c r="B811" s="49" t="s">
        <v>3770</v>
      </c>
      <c r="C811" s="48" t="s">
        <v>3724</v>
      </c>
      <c r="D811" s="50" t="str">
        <f>IFERROR(__xludf.DUMMYFUNCTION("""COMPUTED_VALUE"""),"Sol")</f>
        <v>Sol</v>
      </c>
      <c r="E811" s="50"/>
      <c r="F811" s="50"/>
      <c r="G811" s="50"/>
      <c r="H811" s="50" t="s">
        <v>1710</v>
      </c>
      <c r="I811" s="50"/>
      <c r="J811" s="50"/>
      <c r="K811" s="50" t="s">
        <v>3659</v>
      </c>
      <c r="L811" s="50" t="s">
        <v>3758</v>
      </c>
      <c r="M811" s="50"/>
      <c r="N811" s="50"/>
      <c r="O811" s="50"/>
      <c r="P811" s="50"/>
      <c r="Q811" s="50"/>
      <c r="R811" s="50"/>
      <c r="S811" s="50"/>
      <c r="T811" s="50"/>
      <c r="U811" s="50"/>
      <c r="V811" s="50"/>
      <c r="W811" s="50"/>
      <c r="X811" s="50"/>
      <c r="Y811" s="50"/>
      <c r="Z811" s="50"/>
      <c r="AA811" s="50"/>
      <c r="AB811" s="50"/>
      <c r="AC811" s="50"/>
    </row>
    <row r="812">
      <c r="A812" s="48" t="s">
        <v>3690</v>
      </c>
      <c r="B812" s="49" t="s">
        <v>3771</v>
      </c>
      <c r="C812" s="48" t="s">
        <v>3772</v>
      </c>
      <c r="D812" s="50" t="str">
        <f>IFERROR(__xludf.DUMMYFUNCTION("""COMPUTED_VALUE"""),"Vendu")</f>
        <v>Vendu</v>
      </c>
      <c r="E812" s="50"/>
      <c r="F812" s="50"/>
      <c r="G812" s="50"/>
      <c r="H812" s="50" t="s">
        <v>1710</v>
      </c>
      <c r="I812" s="50"/>
      <c r="J812" s="50"/>
      <c r="K812" s="50" t="s">
        <v>3659</v>
      </c>
      <c r="L812" s="50" t="s">
        <v>3742</v>
      </c>
      <c r="M812" s="50"/>
      <c r="N812" s="50"/>
      <c r="O812" s="50"/>
      <c r="P812" s="50"/>
      <c r="Q812" s="50"/>
      <c r="R812" s="50"/>
      <c r="S812" s="50"/>
      <c r="T812" s="50"/>
      <c r="U812" s="50"/>
      <c r="V812" s="50"/>
      <c r="W812" s="50"/>
      <c r="X812" s="50"/>
      <c r="Y812" s="50"/>
      <c r="Z812" s="50"/>
      <c r="AA812" s="50"/>
      <c r="AB812" s="50"/>
      <c r="AC812" s="50"/>
    </row>
    <row r="813">
      <c r="A813" s="48" t="s">
        <v>3690</v>
      </c>
      <c r="B813" s="49" t="s">
        <v>3773</v>
      </c>
      <c r="C813" s="48" t="s">
        <v>3772</v>
      </c>
      <c r="D813" s="50" t="str">
        <f>IFERROR(__xludf.DUMMYFUNCTION("""COMPUTED_VALUE"""),"Vendu")</f>
        <v>Vendu</v>
      </c>
      <c r="E813" s="50"/>
      <c r="F813" s="50"/>
      <c r="G813" s="50"/>
      <c r="H813" s="50" t="s">
        <v>1710</v>
      </c>
      <c r="I813" s="50"/>
      <c r="J813" s="50"/>
      <c r="K813" s="50" t="s">
        <v>3659</v>
      </c>
      <c r="L813" s="50" t="s">
        <v>3748</v>
      </c>
      <c r="M813" s="50"/>
      <c r="N813" s="50"/>
      <c r="O813" s="50"/>
      <c r="P813" s="50"/>
      <c r="Q813" s="50"/>
      <c r="R813" s="50"/>
      <c r="S813" s="50"/>
      <c r="T813" s="50"/>
      <c r="U813" s="50"/>
      <c r="V813" s="50"/>
      <c r="W813" s="50"/>
      <c r="X813" s="50"/>
      <c r="Y813" s="50"/>
      <c r="Z813" s="50"/>
      <c r="AA813" s="50"/>
      <c r="AB813" s="50"/>
      <c r="AC813" s="50"/>
    </row>
    <row r="814">
      <c r="A814" s="48" t="s">
        <v>3690</v>
      </c>
      <c r="B814" s="49" t="s">
        <v>3774</v>
      </c>
      <c r="C814" s="48" t="s">
        <v>3772</v>
      </c>
      <c r="D814" s="50" t="str">
        <f>IFERROR(__xludf.DUMMYFUNCTION("""COMPUTED_VALUE"""),"Vendu")</f>
        <v>Vendu</v>
      </c>
      <c r="E814" s="50"/>
      <c r="F814" s="50"/>
      <c r="G814" s="50"/>
      <c r="H814" s="50" t="s">
        <v>1710</v>
      </c>
      <c r="I814" s="50"/>
      <c r="J814" s="50"/>
      <c r="K814" s="50" t="s">
        <v>3659</v>
      </c>
      <c r="L814" s="50" t="s">
        <v>3752</v>
      </c>
      <c r="M814" s="50"/>
      <c r="N814" s="50"/>
      <c r="O814" s="50"/>
      <c r="P814" s="50"/>
      <c r="Q814" s="50"/>
      <c r="R814" s="50"/>
      <c r="S814" s="50"/>
      <c r="T814" s="50"/>
      <c r="U814" s="50"/>
      <c r="V814" s="50"/>
      <c r="W814" s="50"/>
      <c r="X814" s="50"/>
      <c r="Y814" s="50"/>
      <c r="Z814" s="50"/>
      <c r="AA814" s="50"/>
      <c r="AB814" s="50"/>
      <c r="AC814" s="50"/>
    </row>
    <row r="815">
      <c r="A815" s="48" t="s">
        <v>3690</v>
      </c>
      <c r="B815" s="49" t="s">
        <v>3775</v>
      </c>
      <c r="C815" s="48" t="s">
        <v>3772</v>
      </c>
      <c r="D815" s="50" t="str">
        <f>IFERROR(__xludf.DUMMYFUNCTION("""COMPUTED_VALUE"""),"Vendu")</f>
        <v>Vendu</v>
      </c>
      <c r="E815" s="50"/>
      <c r="F815" s="50"/>
      <c r="G815" s="50"/>
      <c r="H815" s="50" t="s">
        <v>1710</v>
      </c>
      <c r="I815" s="50"/>
      <c r="J815" s="50"/>
      <c r="K815" s="50" t="s">
        <v>3659</v>
      </c>
      <c r="L815" s="50" t="s">
        <v>1955</v>
      </c>
      <c r="M815" s="50"/>
      <c r="N815" s="50"/>
      <c r="O815" s="50"/>
      <c r="P815" s="50"/>
      <c r="Q815" s="50"/>
      <c r="R815" s="50"/>
      <c r="S815" s="50"/>
      <c r="T815" s="50"/>
      <c r="U815" s="50"/>
      <c r="V815" s="50"/>
      <c r="W815" s="50"/>
      <c r="X815" s="50"/>
      <c r="Y815" s="50"/>
      <c r="Z815" s="50"/>
      <c r="AA815" s="50"/>
      <c r="AB815" s="50"/>
      <c r="AC815" s="50"/>
    </row>
    <row r="816">
      <c r="A816" s="48" t="s">
        <v>3690</v>
      </c>
      <c r="B816" s="49" t="s">
        <v>3776</v>
      </c>
      <c r="C816" s="48" t="s">
        <v>3772</v>
      </c>
      <c r="D816" s="50" t="str">
        <f>IFERROR(__xludf.DUMMYFUNCTION("""COMPUTED_VALUE"""),"Vendu")</f>
        <v>Vendu</v>
      </c>
      <c r="E816" s="50"/>
      <c r="F816" s="50"/>
      <c r="G816" s="50"/>
      <c r="H816" s="50" t="s">
        <v>1710</v>
      </c>
      <c r="I816" s="50"/>
      <c r="J816" s="50"/>
      <c r="K816" s="50" t="s">
        <v>3659</v>
      </c>
      <c r="L816" s="50" t="s">
        <v>1971</v>
      </c>
      <c r="M816" s="50"/>
      <c r="N816" s="50"/>
      <c r="O816" s="50"/>
      <c r="P816" s="50"/>
      <c r="Q816" s="50"/>
      <c r="R816" s="50"/>
      <c r="S816" s="50"/>
      <c r="T816" s="50"/>
      <c r="U816" s="50"/>
      <c r="V816" s="50"/>
      <c r="W816" s="50"/>
      <c r="X816" s="50"/>
      <c r="Y816" s="50"/>
      <c r="Z816" s="50"/>
      <c r="AA816" s="50"/>
      <c r="AB816" s="50"/>
      <c r="AC816" s="50"/>
    </row>
    <row r="817">
      <c r="A817" s="48" t="s">
        <v>3690</v>
      </c>
      <c r="B817" s="49" t="s">
        <v>3777</v>
      </c>
      <c r="C817" s="48" t="s">
        <v>3772</v>
      </c>
      <c r="D817" s="50" t="str">
        <f>IFERROR(__xludf.DUMMYFUNCTION("""COMPUTED_VALUE"""),"Vendu")</f>
        <v>Vendu</v>
      </c>
      <c r="E817" s="50"/>
      <c r="F817" s="50"/>
      <c r="G817" s="50"/>
      <c r="H817" s="50" t="s">
        <v>1710</v>
      </c>
      <c r="I817" s="50"/>
      <c r="J817" s="50"/>
      <c r="K817" s="50" t="s">
        <v>3659</v>
      </c>
      <c r="L817" s="50" t="s">
        <v>3758</v>
      </c>
      <c r="M817" s="50"/>
      <c r="N817" s="50"/>
      <c r="O817" s="50"/>
      <c r="P817" s="50"/>
      <c r="Q817" s="50"/>
      <c r="R817" s="50"/>
      <c r="S817" s="50"/>
      <c r="T817" s="50"/>
      <c r="U817" s="50"/>
      <c r="V817" s="50"/>
      <c r="W817" s="50"/>
      <c r="X817" s="50"/>
      <c r="Y817" s="50"/>
      <c r="Z817" s="50"/>
      <c r="AA817" s="50"/>
      <c r="AB817" s="50"/>
      <c r="AC817" s="50"/>
    </row>
    <row r="818">
      <c r="A818" s="48"/>
      <c r="B818" s="49"/>
      <c r="C818" s="48"/>
      <c r="D818" s="50" t="str">
        <f>IFERROR(__xludf.DUMMYFUNCTION("""COMPUTED_VALUE"""),"")</f>
        <v/>
      </c>
      <c r="E818" s="50"/>
      <c r="F818" s="50"/>
      <c r="G818" s="50"/>
      <c r="H818" s="50" t="s">
        <v>1710</v>
      </c>
      <c r="I818" s="50"/>
      <c r="J818" s="50"/>
      <c r="K818" s="50"/>
      <c r="L818" s="50"/>
      <c r="M818" s="50"/>
      <c r="N818" s="50"/>
      <c r="O818" s="50"/>
      <c r="P818" s="50"/>
      <c r="Q818" s="50"/>
      <c r="R818" s="50"/>
      <c r="S818" s="50"/>
      <c r="T818" s="50"/>
      <c r="U818" s="50"/>
      <c r="V818" s="50"/>
      <c r="W818" s="50"/>
      <c r="X818" s="50"/>
      <c r="Y818" s="50"/>
      <c r="Z818" s="50"/>
      <c r="AA818" s="50"/>
      <c r="AB818" s="50"/>
      <c r="AC818" s="50"/>
    </row>
    <row r="819">
      <c r="A819" s="48"/>
      <c r="B819" s="49"/>
      <c r="C819" s="48"/>
      <c r="D819" s="50" t="str">
        <f>IFERROR(__xludf.DUMMYFUNCTION("""COMPUTED_VALUE"""),"")</f>
        <v/>
      </c>
      <c r="E819" s="50"/>
      <c r="F819" s="50"/>
      <c r="G819" s="50"/>
      <c r="H819" s="50" t="s">
        <v>1710</v>
      </c>
      <c r="I819" s="50"/>
      <c r="J819" s="50"/>
      <c r="K819" s="50"/>
      <c r="L819" s="50"/>
      <c r="M819" s="50"/>
      <c r="N819" s="50"/>
      <c r="O819" s="50"/>
      <c r="P819" s="50"/>
      <c r="Q819" s="50"/>
      <c r="R819" s="50"/>
      <c r="S819" s="50"/>
      <c r="T819" s="50"/>
      <c r="U819" s="50"/>
      <c r="V819" s="50"/>
      <c r="W819" s="50"/>
      <c r="X819" s="50"/>
      <c r="Y819" s="50"/>
      <c r="Z819" s="50"/>
      <c r="AA819" s="50"/>
      <c r="AB819" s="50"/>
      <c r="AC819" s="50"/>
    </row>
    <row r="820">
      <c r="A820" s="48"/>
      <c r="B820" s="49"/>
      <c r="C820" s="48"/>
      <c r="D820" s="50" t="str">
        <f>IFERROR(__xludf.DUMMYFUNCTION("""COMPUTED_VALUE"""),"")</f>
        <v/>
      </c>
      <c r="E820" s="50"/>
      <c r="F820" s="50"/>
      <c r="G820" s="50"/>
      <c r="H820" s="50" t="s">
        <v>1710</v>
      </c>
      <c r="I820" s="50"/>
      <c r="J820" s="50"/>
      <c r="K820" s="50"/>
      <c r="L820" s="50"/>
      <c r="M820" s="50"/>
      <c r="N820" s="50"/>
      <c r="O820" s="50"/>
      <c r="P820" s="50"/>
      <c r="Q820" s="50"/>
      <c r="R820" s="50"/>
      <c r="S820" s="50"/>
      <c r="T820" s="50"/>
      <c r="U820" s="50"/>
      <c r="V820" s="50"/>
      <c r="W820" s="50"/>
      <c r="X820" s="50"/>
      <c r="Y820" s="50"/>
      <c r="Z820" s="50"/>
      <c r="AA820" s="50"/>
      <c r="AB820" s="50"/>
      <c r="AC820" s="50"/>
    </row>
    <row r="821">
      <c r="A821" s="48"/>
      <c r="B821" s="49"/>
      <c r="C821" s="48"/>
      <c r="D821" s="50" t="str">
        <f>IFERROR(__xludf.DUMMYFUNCTION("""COMPUTED_VALUE"""),"")</f>
        <v/>
      </c>
      <c r="E821" s="50"/>
      <c r="F821" s="50"/>
      <c r="G821" s="50"/>
      <c r="H821" s="50" t="s">
        <v>1710</v>
      </c>
      <c r="I821" s="50"/>
      <c r="J821" s="50"/>
      <c r="K821" s="50"/>
      <c r="L821" s="50"/>
      <c r="M821" s="50"/>
      <c r="N821" s="50"/>
      <c r="O821" s="50"/>
      <c r="P821" s="50"/>
      <c r="Q821" s="50"/>
      <c r="R821" s="50"/>
      <c r="S821" s="50"/>
      <c r="T821" s="50"/>
      <c r="U821" s="50"/>
      <c r="V821" s="50"/>
      <c r="W821" s="50"/>
      <c r="X821" s="50"/>
      <c r="Y821" s="50"/>
      <c r="Z821" s="50"/>
      <c r="AA821" s="50"/>
      <c r="AB821" s="50"/>
      <c r="AC821" s="50"/>
    </row>
    <row r="822">
      <c r="A822" s="48"/>
      <c r="B822" s="49"/>
      <c r="C822" s="48"/>
      <c r="D822" s="50" t="str">
        <f>IFERROR(__xludf.DUMMYFUNCTION("""COMPUTED_VALUE"""),"")</f>
        <v/>
      </c>
      <c r="E822" s="50"/>
      <c r="F822" s="50"/>
      <c r="G822" s="50"/>
      <c r="H822" s="50" t="s">
        <v>1710</v>
      </c>
      <c r="I822" s="50"/>
      <c r="J822" s="50"/>
      <c r="K822" s="50"/>
      <c r="L822" s="50"/>
      <c r="M822" s="50"/>
      <c r="N822" s="50"/>
      <c r="O822" s="50"/>
      <c r="P822" s="50"/>
      <c r="Q822" s="50"/>
      <c r="R822" s="50"/>
      <c r="S822" s="50"/>
      <c r="T822" s="50"/>
      <c r="U822" s="50"/>
      <c r="V822" s="50"/>
      <c r="W822" s="50"/>
      <c r="X822" s="50"/>
      <c r="Y822" s="50"/>
      <c r="Z822" s="50"/>
      <c r="AA822" s="50"/>
      <c r="AB822" s="50"/>
      <c r="AC822" s="50"/>
    </row>
    <row r="823">
      <c r="A823" s="48"/>
      <c r="B823" s="49"/>
      <c r="C823" s="48"/>
      <c r="D823" s="50" t="str">
        <f>IFERROR(__xludf.DUMMYFUNCTION("""COMPUTED_VALUE"""),"")</f>
        <v/>
      </c>
      <c r="E823" s="50"/>
      <c r="F823" s="50"/>
      <c r="G823" s="50"/>
      <c r="H823" s="50" t="s">
        <v>1710</v>
      </c>
      <c r="I823" s="50"/>
      <c r="J823" s="50"/>
      <c r="K823" s="50"/>
      <c r="L823" s="50"/>
      <c r="M823" s="50"/>
      <c r="N823" s="50"/>
      <c r="O823" s="50"/>
      <c r="P823" s="50"/>
      <c r="Q823" s="50"/>
      <c r="R823" s="50"/>
      <c r="S823" s="50"/>
      <c r="T823" s="50"/>
      <c r="U823" s="50"/>
      <c r="V823" s="50"/>
      <c r="W823" s="50"/>
      <c r="X823" s="50"/>
      <c r="Y823" s="50"/>
      <c r="Z823" s="50"/>
      <c r="AA823" s="50"/>
      <c r="AB823" s="50"/>
      <c r="AC823" s="50"/>
    </row>
    <row r="824">
      <c r="A824" s="48"/>
      <c r="B824" s="49"/>
      <c r="C824" s="48"/>
      <c r="D824" s="50" t="str">
        <f>IFERROR(__xludf.DUMMYFUNCTION("""COMPUTED_VALUE"""),"")</f>
        <v/>
      </c>
      <c r="E824" s="50"/>
      <c r="F824" s="50"/>
      <c r="G824" s="50"/>
      <c r="H824" s="50" t="s">
        <v>1710</v>
      </c>
      <c r="I824" s="50"/>
      <c r="J824" s="50"/>
      <c r="K824" s="50"/>
      <c r="L824" s="50"/>
      <c r="M824" s="50"/>
      <c r="N824" s="50"/>
      <c r="O824" s="50"/>
      <c r="P824" s="50"/>
      <c r="Q824" s="50"/>
      <c r="R824" s="50"/>
      <c r="S824" s="50"/>
      <c r="T824" s="50"/>
      <c r="U824" s="50"/>
      <c r="V824" s="50"/>
      <c r="W824" s="50"/>
      <c r="X824" s="50"/>
      <c r="Y824" s="50"/>
      <c r="Z824" s="50"/>
      <c r="AA824" s="50"/>
      <c r="AB824" s="50"/>
      <c r="AC824" s="50"/>
    </row>
    <row r="825">
      <c r="A825" s="48"/>
      <c r="B825" s="49"/>
      <c r="C825" s="48"/>
      <c r="D825" s="50" t="str">
        <f>IFERROR(__xludf.DUMMYFUNCTION("""COMPUTED_VALUE"""),"")</f>
        <v/>
      </c>
      <c r="E825" s="50"/>
      <c r="F825" s="50"/>
      <c r="G825" s="50"/>
      <c r="H825" s="50" t="s">
        <v>1710</v>
      </c>
      <c r="I825" s="50"/>
      <c r="J825" s="50"/>
      <c r="K825" s="50"/>
      <c r="L825" s="50"/>
      <c r="M825" s="50"/>
      <c r="N825" s="50"/>
      <c r="O825" s="50"/>
      <c r="P825" s="50"/>
      <c r="Q825" s="50"/>
      <c r="R825" s="50"/>
      <c r="S825" s="50"/>
      <c r="T825" s="50"/>
      <c r="U825" s="50"/>
      <c r="V825" s="50"/>
      <c r="W825" s="50"/>
      <c r="X825" s="50"/>
      <c r="Y825" s="50"/>
      <c r="Z825" s="50"/>
      <c r="AA825" s="50"/>
      <c r="AB825" s="50"/>
      <c r="AC825" s="50"/>
    </row>
    <row r="826">
      <c r="A826" s="48"/>
      <c r="B826" s="49"/>
      <c r="C826" s="48"/>
      <c r="D826" s="50" t="str">
        <f>IFERROR(__xludf.DUMMYFUNCTION("""COMPUTED_VALUE"""),"")</f>
        <v/>
      </c>
      <c r="E826" s="50"/>
      <c r="F826" s="50"/>
      <c r="G826" s="50"/>
      <c r="H826" s="50" t="s">
        <v>1710</v>
      </c>
      <c r="I826" s="50"/>
      <c r="J826" s="50"/>
      <c r="K826" s="50"/>
      <c r="L826" s="50"/>
      <c r="M826" s="50"/>
      <c r="N826" s="50"/>
      <c r="O826" s="50"/>
      <c r="P826" s="50"/>
      <c r="Q826" s="50"/>
      <c r="R826" s="50"/>
      <c r="S826" s="50"/>
      <c r="T826" s="50"/>
      <c r="U826" s="50"/>
      <c r="V826" s="50"/>
      <c r="W826" s="50"/>
      <c r="X826" s="50"/>
      <c r="Y826" s="50"/>
      <c r="Z826" s="50"/>
      <c r="AA826" s="50"/>
      <c r="AB826" s="50"/>
      <c r="AC826" s="50"/>
    </row>
    <row r="827">
      <c r="A827" s="48"/>
      <c r="B827" s="49"/>
      <c r="C827" s="48"/>
      <c r="D827" s="50" t="str">
        <f>IFERROR(__xludf.DUMMYFUNCTION("""COMPUTED_VALUE"""),"")</f>
        <v/>
      </c>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row>
    <row r="828">
      <c r="A828" s="48"/>
      <c r="B828" s="49"/>
      <c r="C828" s="48"/>
      <c r="D828" s="50" t="str">
        <f>IFERROR(__xludf.DUMMYFUNCTION("""COMPUTED_VALUE"""),"")</f>
        <v/>
      </c>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row>
    <row r="829">
      <c r="A829" s="48"/>
      <c r="B829" s="49"/>
      <c r="C829" s="48"/>
      <c r="D829" s="50" t="str">
        <f>IFERROR(__xludf.DUMMYFUNCTION("""COMPUTED_VALUE"""),"")</f>
        <v/>
      </c>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row>
  </sheetData>
  <conditionalFormatting sqref="R1">
    <cfRule type="expression" dxfId="1" priority="1">
      <formula>or(#REF!="begin group", #REF!="begin_group", #REF!="end group", #REF!="end_group")</formula>
    </cfRule>
  </conditionalFormatting>
  <conditionalFormatting sqref="R1">
    <cfRule type="expression" dxfId="2" priority="2">
      <formula>or(#REF!="begin repeat", #REF!="begin_repeat", #REF!="end repeat", #REF!="end_repeat")</formula>
    </cfRule>
  </conditionalFormatting>
  <conditionalFormatting sqref="S1">
    <cfRule type="expression" dxfId="1" priority="3">
      <formula>or(#REF!="begin group", #REF!="begin_group", #REF!="end group", #REF!="end_group")</formula>
    </cfRule>
  </conditionalFormatting>
  <conditionalFormatting sqref="S1">
    <cfRule type="expression" dxfId="2" priority="4">
      <formula>or(#REF!="begin repeat", #REF!="begin_repeat", #REF!="end repeat", #REF!="end_repeat")</formula>
    </cfRule>
  </conditionalFormatting>
  <conditionalFormatting sqref="U1">
    <cfRule type="expression" dxfId="1" priority="5">
      <formula>or(#REF!="begin group", #REF!="begin_group", #REF!="end group", #REF!="end_group")</formula>
    </cfRule>
  </conditionalFormatting>
  <conditionalFormatting sqref="U1">
    <cfRule type="expression" dxfId="2" priority="6">
      <formula>or(#REF!="begin repeat", #REF!="begin_repeat", #REF!="end repeat", #REF!="end_repeat")</formula>
    </cfRule>
  </conditionalFormatting>
  <conditionalFormatting sqref="Q1">
    <cfRule type="expression" dxfId="1" priority="7">
      <formula>or(#REF!="begin group", #REF!="begin_group", #REF!="end group", #REF!="end_group")</formula>
    </cfRule>
  </conditionalFormatting>
  <conditionalFormatting sqref="Q1">
    <cfRule type="expression" dxfId="2" priority="8">
      <formula>or(#REF!="begin repeat", #REF!="begin_repeat", #REF!="end repeat", #REF!="end_repeat")</formula>
    </cfRule>
  </conditionalFormatting>
  <conditionalFormatting sqref="T1">
    <cfRule type="expression" dxfId="1" priority="9">
      <formula>or(#REF!="begin group", #REF!="begin_group", #REF!="end group", #REF!="end_group")</formula>
    </cfRule>
  </conditionalFormatting>
  <conditionalFormatting sqref="T1">
    <cfRule type="expression" dxfId="2" priority="10">
      <formula>or(#REF!="begin repeat", #REF!="begin_repeat", #REF!="end repeat", #REF!="end_repeat")</formula>
    </cfRule>
  </conditionalFormatting>
  <conditionalFormatting sqref="P1">
    <cfRule type="expression" dxfId="1" priority="11">
      <formula>or(#REF!="begin group", #REF!="begin_group", #REF!="end group", #REF!="end_group")</formula>
    </cfRule>
  </conditionalFormatting>
  <conditionalFormatting sqref="P1">
    <cfRule type="expression" dxfId="2" priority="12">
      <formula>or(#REF!="begin repeat", #REF!="begin_repeat", #REF!="end repeat", #REF!="end_repeat")</formula>
    </cfRule>
  </conditionalFormatting>
  <conditionalFormatting sqref="D1:F1">
    <cfRule type="expression" dxfId="1" priority="13">
      <formula>or(#REF!="begin group", #REF!="begin_group", #REF!="end group", #REF!="end_group")</formula>
    </cfRule>
  </conditionalFormatting>
  <conditionalFormatting sqref="D1:F1">
    <cfRule type="expression" dxfId="2" priority="14">
      <formula>or(#REF!="begin repeat", #REF!="begin_repeat", #REF!="end repeat", #REF!="end_repeat")</formula>
    </cfRule>
  </conditionalFormatting>
  <conditionalFormatting sqref="H1">
    <cfRule type="expression" dxfId="1" priority="15">
      <formula>or(#REF!="begin group", #REF!="begin_group", #REF!="end group", #REF!="end_group")</formula>
    </cfRule>
  </conditionalFormatting>
  <conditionalFormatting sqref="H1">
    <cfRule type="expression" dxfId="2" priority="16">
      <formula>or(#REF!="begin repeat", #REF!="begin_repeat", #REF!="end repeat", #REF!="end_repeat")</formula>
    </cfRule>
  </conditionalFormatting>
  <conditionalFormatting sqref="A1">
    <cfRule type="expression" dxfId="1" priority="17">
      <formula>or($A1="begin group", $A1="begin_group", $A1="end group", $A1="end_group")</formula>
    </cfRule>
  </conditionalFormatting>
  <conditionalFormatting sqref="A1">
    <cfRule type="expression" dxfId="2" priority="18">
      <formula>or($A1="begin repeat", $A1="begin_repeat", $A1="end repeat", $A1="end_repeat")</formula>
    </cfRule>
  </conditionalFormatting>
  <conditionalFormatting sqref="A2:AC829">
    <cfRule type="notContainsBlanks" dxfId="2" priority="19">
      <formula>LEN(TRIM(A2))&gt;0</formula>
    </cfRule>
  </conditionalFormatting>
  <drawing r:id="rId2"/>
  <legacyDrawing r:id="rId3"/>
  <tableParts count="1">
    <tablePart r:id="rId5"/>
  </tableParts>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9ECC"/>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25.5"/>
    <col customWidth="1" min="2" max="2" width="21.0"/>
    <col customWidth="1" min="3" max="3" width="17.25"/>
    <col customWidth="1" min="4" max="4" width="32.63"/>
    <col customWidth="1" min="5" max="5" width="14.63"/>
  </cols>
  <sheetData>
    <row r="1" ht="25.5" customHeight="1">
      <c r="A1" s="51" t="s">
        <v>3778</v>
      </c>
      <c r="B1" s="51" t="s">
        <v>3779</v>
      </c>
      <c r="C1" s="51" t="s">
        <v>3780</v>
      </c>
      <c r="D1" s="51" t="s">
        <v>3781</v>
      </c>
      <c r="E1" s="51" t="s">
        <v>3782</v>
      </c>
      <c r="F1" s="51" t="s">
        <v>3783</v>
      </c>
    </row>
    <row r="2">
      <c r="A2" s="52" t="s">
        <v>3784</v>
      </c>
      <c r="B2" s="52" t="s">
        <v>3785</v>
      </c>
      <c r="C2" s="53" t="str">
        <f>TEXT(NOW(),"yyyy_mm_dd_hh:mm-ss")</f>
        <v>2025_10_01_08:30-05</v>
      </c>
      <c r="D2" s="53"/>
      <c r="E2" s="54" t="s">
        <v>3786</v>
      </c>
      <c r="F2" s="53"/>
    </row>
  </sheetData>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34343"/>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sheetData>
    <row r="1" ht="25.5" customHeight="1">
      <c r="A1" s="51" t="s">
        <v>1697</v>
      </c>
      <c r="B1" s="51" t="s">
        <v>3787</v>
      </c>
    </row>
    <row r="2">
      <c r="A2" s="53"/>
      <c r="B2" s="53"/>
    </row>
    <row r="3">
      <c r="A3" s="53"/>
      <c r="B3" s="53"/>
    </row>
    <row r="4">
      <c r="A4" s="53"/>
      <c r="B4" s="53"/>
    </row>
    <row r="5">
      <c r="A5" s="53"/>
      <c r="B5" s="53"/>
    </row>
    <row r="6">
      <c r="A6" s="53"/>
      <c r="B6" s="53"/>
    </row>
    <row r="7">
      <c r="A7" s="53"/>
      <c r="B7" s="53"/>
    </row>
    <row r="8">
      <c r="A8" s="53"/>
      <c r="B8" s="53"/>
    </row>
    <row r="9">
      <c r="A9" s="53"/>
      <c r="B9" s="53"/>
    </row>
    <row r="10">
      <c r="A10" s="53"/>
      <c r="B10" s="53"/>
    </row>
    <row r="11">
      <c r="A11" s="53"/>
      <c r="B11" s="53"/>
    </row>
    <row r="12">
      <c r="A12" s="53"/>
      <c r="B12" s="53"/>
    </row>
    <row r="13">
      <c r="A13" s="53"/>
      <c r="B13" s="53"/>
    </row>
    <row r="14">
      <c r="A14" s="53"/>
      <c r="B14" s="53"/>
    </row>
    <row r="15">
      <c r="A15" s="53"/>
      <c r="B15" s="53"/>
    </row>
  </sheetData>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sheetData>
    <row r="1">
      <c r="A1" s="8" t="str">
        <f>IFERROR(__xludf.DUMMYFUNCTION("IMPORTRANGE(""https://docs.google.com/spreadsheets/d/17kXTuXvMJqhOwaeAKHSq1JUKLTiSTA2LzFD_2NCuD_g"",""Import!A:Z"")"),"Tree_ID")</f>
        <v>Tree_ID</v>
      </c>
      <c r="B1" s="8" t="str">
        <f>IFERROR(__xludf.DUMMYFUNCTION("""COMPUTED_VALUE"""),"plant_type")</f>
        <v>plant_type</v>
      </c>
      <c r="C1" s="8" t="str">
        <f>IFERROR(__xludf.DUMMYFUNCTION("""COMPUTED_VALUE"""),"preferred_propagation")</f>
        <v>preferred_propagation</v>
      </c>
      <c r="D1" s="8" t="str">
        <f>IFERROR(__xludf.DUMMYFUNCTION("""COMPUTED_VALUE"""),"Scientific_Name")</f>
        <v>Scientific_Name</v>
      </c>
      <c r="E1" s="8" t="str">
        <f>IFERROR(__xludf.DUMMYFUNCTION("""COMPUTED_VALUE"""),"Variety")</f>
        <v>Variety</v>
      </c>
      <c r="F1" s="8" t="str">
        <f>IFERROR(__xludf.DUMMYFUNCTION("""COMPUTED_VALUE"""),"Common_Name")</f>
        <v>Common_Name</v>
      </c>
      <c r="G1" s="8" t="str">
        <f>IFERROR(__xludf.DUMMYFUNCTION("""COMPUTED_VALUE"""),"FR_Common_Name")</f>
        <v>FR_Common_Name</v>
      </c>
      <c r="H1" s="8" t="str">
        <f>IFERROR(__xludf.DUMMYFUNCTION("""COMPUTED_VALUE"""),"propagated_by")</f>
        <v>propagated_by</v>
      </c>
      <c r="I1" s="8" t="str">
        <f>IFERROR(__xludf.DUMMYFUNCTION("""COMPUTED_VALUE"""),"Loc")</f>
        <v>Loc</v>
      </c>
      <c r="J1" s="8" t="str">
        <f>IFERROR(__xludf.DUMMYFUNCTION("""COMPUTED_VALUE"""),"Cashew_Near")</f>
        <v>Cashew_Near</v>
      </c>
      <c r="K1" s="8" t="str">
        <f>IFERROR(__xludf.DUMMYFUNCTION("""COMPUTED_VALUE"""),"Temp_ID")</f>
        <v>Temp_ID</v>
      </c>
      <c r="L1" s="8" t="str">
        <f>IFERROR(__xludf.DUMMYFUNCTION("""COMPUTED_VALUE"""),"seed_qty")</f>
        <v>seed_qty</v>
      </c>
      <c r="M1" s="8" t="str">
        <f>IFERROR(__xludf.DUMMYFUNCTION("""COMPUTED_VALUE"""),"transplanted_alive_count")</f>
        <v>transplanted_alive_count</v>
      </c>
      <c r="N1" s="8" t="str">
        <f>IFERROR(__xludf.DUMMYFUNCTION("""COMPUTED_VALUE"""),"alive_count")</f>
        <v>alive_count</v>
      </c>
      <c r="O1" s="8"/>
      <c r="P1" s="8"/>
      <c r="Q1" s="8"/>
      <c r="R1" s="8"/>
      <c r="S1" s="8"/>
      <c r="T1" s="8"/>
      <c r="U1" s="8"/>
      <c r="V1" s="8"/>
      <c r="W1" s="8"/>
      <c r="X1" s="8"/>
      <c r="Y1" s="8"/>
      <c r="Z1" s="8"/>
    </row>
    <row r="2">
      <c r="A2" s="8">
        <f>IFERROR(__xludf.DUMMYFUNCTION("""COMPUTED_VALUE"""),1.0)</f>
        <v>1</v>
      </c>
      <c r="B2" s="8" t="str">
        <f>IFERROR(__xludf.DUMMYFUNCTION("""COMPUTED_VALUE"""),"cashew")</f>
        <v>cashew</v>
      </c>
      <c r="C2" s="8" t="str">
        <f>IFERROR(__xludf.DUMMYFUNCTION("""COMPUTED_VALUE"""),"graft")</f>
        <v>graft</v>
      </c>
      <c r="D2" s="55" t="str">
        <f>IFERROR(__xludf.DUMMYFUNCTION("""COMPUTED_VALUE"""),"Anacardium occidentale")</f>
        <v>Anacardium occidentale</v>
      </c>
      <c r="E2" s="8" t="str">
        <f>IFERROR(__xludf.DUMMYFUNCTION("""COMPUTED_VALUE"""),"X4297 (Red)?")</f>
        <v>X4297 (Red)?</v>
      </c>
      <c r="F2" s="8" t="str">
        <f>IFERROR(__xludf.DUMMYFUNCTION("""COMPUTED_VALUE"""),"Cashew")</f>
        <v>Cashew</v>
      </c>
      <c r="G2" s="8" t="str">
        <f>IFERROR(__xludf.DUMMYFUNCTION("""COMPUTED_VALUE"""),"Anacardier")</f>
        <v>Anacardier</v>
      </c>
      <c r="H2" s="8" t="str">
        <f>IFERROR(__xludf.DUMMYFUNCTION("""COMPUTED_VALUE"""),"graft")</f>
        <v>graft</v>
      </c>
      <c r="I2" s="8" t="str">
        <f>IFERROR(__xludf.DUMMYFUNCTION("""COMPUTED_VALUE"""),"C001")</f>
        <v>C001</v>
      </c>
      <c r="J2" s="8" t="str">
        <f>IFERROR(__xludf.DUMMYFUNCTION("""COMPUTED_VALUE"""),"01N01")</f>
        <v>01N01</v>
      </c>
      <c r="K2" s="8"/>
      <c r="L2" s="8">
        <f>IFERROR(__xludf.DUMMYFUNCTION("""COMPUTED_VALUE"""),1.0)</f>
        <v>1</v>
      </c>
      <c r="M2" s="8">
        <f>IFERROR(__xludf.DUMMYFUNCTION("""COMPUTED_VALUE"""),0.0)</f>
        <v>0</v>
      </c>
      <c r="N2" s="8">
        <f>IFERROR(__xludf.DUMMYFUNCTION("""COMPUTED_VALUE"""),0.0)</f>
        <v>0</v>
      </c>
      <c r="O2" s="8"/>
      <c r="P2" s="8"/>
      <c r="Q2" s="8"/>
      <c r="R2" s="8"/>
      <c r="S2" s="8"/>
      <c r="T2" s="8"/>
      <c r="U2" s="8"/>
      <c r="V2" s="8"/>
      <c r="W2" s="8"/>
      <c r="X2" s="8"/>
      <c r="Y2" s="8"/>
      <c r="Z2" s="8"/>
    </row>
    <row r="3">
      <c r="A3" s="8">
        <f>IFERROR(__xludf.DUMMYFUNCTION("""COMPUTED_VALUE"""),2.0)</f>
        <v>2</v>
      </c>
      <c r="B3" s="8" t="str">
        <f>IFERROR(__xludf.DUMMYFUNCTION("""COMPUTED_VALUE"""),"cashew")</f>
        <v>cashew</v>
      </c>
      <c r="C3" s="8" t="str">
        <f>IFERROR(__xludf.DUMMYFUNCTION("""COMPUTED_VALUE"""),"graft")</f>
        <v>graft</v>
      </c>
      <c r="D3" s="55" t="str">
        <f>IFERROR(__xludf.DUMMYFUNCTION("""COMPUTED_VALUE"""),"Anacardium occidentale")</f>
        <v>Anacardium occidentale</v>
      </c>
      <c r="E3" s="8" t="str">
        <f>IFERROR(__xludf.DUMMYFUNCTION("""COMPUTED_VALUE"""),"X4297 (Red)?")</f>
        <v>X4297 (Red)?</v>
      </c>
      <c r="F3" s="8" t="str">
        <f>IFERROR(__xludf.DUMMYFUNCTION("""COMPUTED_VALUE"""),"Cashew")</f>
        <v>Cashew</v>
      </c>
      <c r="G3" s="8" t="str">
        <f>IFERROR(__xludf.DUMMYFUNCTION("""COMPUTED_VALUE"""),"Anacardier")</f>
        <v>Anacardier</v>
      </c>
      <c r="H3" s="8" t="str">
        <f>IFERROR(__xludf.DUMMYFUNCTION("""COMPUTED_VALUE"""),"graft")</f>
        <v>graft</v>
      </c>
      <c r="I3" s="8" t="str">
        <f>IFERROR(__xludf.DUMMYFUNCTION("""COMPUTED_VALUE"""),"C002")</f>
        <v>C002</v>
      </c>
      <c r="J3" s="8" t="str">
        <f>IFERROR(__xludf.DUMMYFUNCTION("""COMPUTED_VALUE"""),"01N02")</f>
        <v>01N02</v>
      </c>
      <c r="K3" s="8"/>
      <c r="L3" s="8">
        <f>IFERROR(__xludf.DUMMYFUNCTION("""COMPUTED_VALUE"""),1.0)</f>
        <v>1</v>
      </c>
      <c r="M3" s="8">
        <f>IFERROR(__xludf.DUMMYFUNCTION("""COMPUTED_VALUE"""),0.0)</f>
        <v>0</v>
      </c>
      <c r="N3" s="8">
        <f>IFERROR(__xludf.DUMMYFUNCTION("""COMPUTED_VALUE"""),0.0)</f>
        <v>0</v>
      </c>
      <c r="O3" s="8"/>
      <c r="P3" s="8"/>
      <c r="Q3" s="8"/>
      <c r="R3" s="8"/>
      <c r="S3" s="8"/>
      <c r="T3" s="8"/>
      <c r="U3" s="8"/>
      <c r="V3" s="8"/>
      <c r="W3" s="8"/>
      <c r="X3" s="8"/>
      <c r="Y3" s="8"/>
      <c r="Z3" s="8"/>
    </row>
    <row r="4">
      <c r="A4" s="8">
        <f>IFERROR(__xludf.DUMMYFUNCTION("""COMPUTED_VALUE"""),3.0)</f>
        <v>3</v>
      </c>
      <c r="B4" s="8" t="str">
        <f>IFERROR(__xludf.DUMMYFUNCTION("""COMPUTED_VALUE"""),"cashew")</f>
        <v>cashew</v>
      </c>
      <c r="C4" s="8" t="str">
        <f>IFERROR(__xludf.DUMMYFUNCTION("""COMPUTED_VALUE"""),"graft")</f>
        <v>graft</v>
      </c>
      <c r="D4" s="55" t="str">
        <f>IFERROR(__xludf.DUMMYFUNCTION("""COMPUTED_VALUE"""),"Anacardium occidentale")</f>
        <v>Anacardium occidentale</v>
      </c>
      <c r="E4" s="8" t="str">
        <f>IFERROR(__xludf.DUMMYFUNCTION("""COMPUTED_VALUE"""),"X4297 (Red)?")</f>
        <v>X4297 (Red)?</v>
      </c>
      <c r="F4" s="8" t="str">
        <f>IFERROR(__xludf.DUMMYFUNCTION("""COMPUTED_VALUE"""),"Cashew")</f>
        <v>Cashew</v>
      </c>
      <c r="G4" s="8" t="str">
        <f>IFERROR(__xludf.DUMMYFUNCTION("""COMPUTED_VALUE"""),"Anacardier")</f>
        <v>Anacardier</v>
      </c>
      <c r="H4" s="8" t="str">
        <f>IFERROR(__xludf.DUMMYFUNCTION("""COMPUTED_VALUE"""),"graft")</f>
        <v>graft</v>
      </c>
      <c r="I4" s="8" t="str">
        <f>IFERROR(__xludf.DUMMYFUNCTION("""COMPUTED_VALUE"""),"C003")</f>
        <v>C003</v>
      </c>
      <c r="J4" s="8" t="str">
        <f>IFERROR(__xludf.DUMMYFUNCTION("""COMPUTED_VALUE"""),"01N03")</f>
        <v>01N03</v>
      </c>
      <c r="K4" s="8"/>
      <c r="L4" s="8">
        <f>IFERROR(__xludf.DUMMYFUNCTION("""COMPUTED_VALUE"""),1.0)</f>
        <v>1</v>
      </c>
      <c r="M4" s="8">
        <f>IFERROR(__xludf.DUMMYFUNCTION("""COMPUTED_VALUE"""),0.0)</f>
        <v>0</v>
      </c>
      <c r="N4" s="8">
        <f>IFERROR(__xludf.DUMMYFUNCTION("""COMPUTED_VALUE"""),0.0)</f>
        <v>0</v>
      </c>
      <c r="O4" s="8"/>
      <c r="P4" s="8"/>
      <c r="Q4" s="8"/>
      <c r="R4" s="8"/>
      <c r="S4" s="8"/>
      <c r="T4" s="8"/>
      <c r="U4" s="8"/>
      <c r="V4" s="8"/>
      <c r="W4" s="8"/>
      <c r="X4" s="8"/>
      <c r="Y4" s="8"/>
      <c r="Z4" s="8"/>
    </row>
    <row r="5">
      <c r="A5" s="8">
        <f>IFERROR(__xludf.DUMMYFUNCTION("""COMPUTED_VALUE"""),4.0)</f>
        <v>4</v>
      </c>
      <c r="B5" s="8" t="str">
        <f>IFERROR(__xludf.DUMMYFUNCTION("""COMPUTED_VALUE"""),"cashew")</f>
        <v>cashew</v>
      </c>
      <c r="C5" s="8" t="str">
        <f>IFERROR(__xludf.DUMMYFUNCTION("""COMPUTED_VALUE"""),"graft")</f>
        <v>graft</v>
      </c>
      <c r="D5" s="55" t="str">
        <f>IFERROR(__xludf.DUMMYFUNCTION("""COMPUTED_VALUE"""),"Anacardium occidentale")</f>
        <v>Anacardium occidentale</v>
      </c>
      <c r="E5" s="8" t="str">
        <f>IFERROR(__xludf.DUMMYFUNCTION("""COMPUTED_VALUE"""),"X4297 (Red)?")</f>
        <v>X4297 (Red)?</v>
      </c>
      <c r="F5" s="8" t="str">
        <f>IFERROR(__xludf.DUMMYFUNCTION("""COMPUTED_VALUE"""),"Cashew")</f>
        <v>Cashew</v>
      </c>
      <c r="G5" s="8" t="str">
        <f>IFERROR(__xludf.DUMMYFUNCTION("""COMPUTED_VALUE"""),"Anacardier")</f>
        <v>Anacardier</v>
      </c>
      <c r="H5" s="8" t="str">
        <f>IFERROR(__xludf.DUMMYFUNCTION("""COMPUTED_VALUE"""),"graft")</f>
        <v>graft</v>
      </c>
      <c r="I5" s="8" t="str">
        <f>IFERROR(__xludf.DUMMYFUNCTION("""COMPUTED_VALUE"""),"C004")</f>
        <v>C004</v>
      </c>
      <c r="J5" s="8" t="str">
        <f>IFERROR(__xludf.DUMMYFUNCTION("""COMPUTED_VALUE"""),"01N04")</f>
        <v>01N04</v>
      </c>
      <c r="K5" s="8"/>
      <c r="L5" s="8">
        <f>IFERROR(__xludf.DUMMYFUNCTION("""COMPUTED_VALUE"""),1.0)</f>
        <v>1</v>
      </c>
      <c r="M5" s="8">
        <f>IFERROR(__xludf.DUMMYFUNCTION("""COMPUTED_VALUE"""),0.0)</f>
        <v>0</v>
      </c>
      <c r="N5" s="8">
        <f>IFERROR(__xludf.DUMMYFUNCTION("""COMPUTED_VALUE"""),0.0)</f>
        <v>0</v>
      </c>
      <c r="O5" s="8"/>
      <c r="P5" s="8"/>
      <c r="Q5" s="8"/>
      <c r="R5" s="8"/>
      <c r="S5" s="8"/>
      <c r="T5" s="8"/>
      <c r="U5" s="8"/>
      <c r="V5" s="8"/>
      <c r="W5" s="8"/>
      <c r="X5" s="8"/>
      <c r="Y5" s="8"/>
      <c r="Z5" s="8"/>
    </row>
    <row r="6">
      <c r="A6" s="8">
        <f>IFERROR(__xludf.DUMMYFUNCTION("""COMPUTED_VALUE"""),5.0)</f>
        <v>5</v>
      </c>
      <c r="B6" s="8" t="str">
        <f>IFERROR(__xludf.DUMMYFUNCTION("""COMPUTED_VALUE"""),"cashew")</f>
        <v>cashew</v>
      </c>
      <c r="C6" s="8" t="str">
        <f>IFERROR(__xludf.DUMMYFUNCTION("""COMPUTED_VALUE"""),"graft")</f>
        <v>graft</v>
      </c>
      <c r="D6" s="55" t="str">
        <f>IFERROR(__xludf.DUMMYFUNCTION("""COMPUTED_VALUE"""),"Anacardium occidentale")</f>
        <v>Anacardium occidentale</v>
      </c>
      <c r="E6" s="8" t="str">
        <f>IFERROR(__xludf.DUMMYFUNCTION("""COMPUTED_VALUE"""),"X4297 (Red)?")</f>
        <v>X4297 (Red)?</v>
      </c>
      <c r="F6" s="8" t="str">
        <f>IFERROR(__xludf.DUMMYFUNCTION("""COMPUTED_VALUE"""),"Cashew")</f>
        <v>Cashew</v>
      </c>
      <c r="G6" s="8" t="str">
        <f>IFERROR(__xludf.DUMMYFUNCTION("""COMPUTED_VALUE"""),"Anacardier")</f>
        <v>Anacardier</v>
      </c>
      <c r="H6" s="8" t="str">
        <f>IFERROR(__xludf.DUMMYFUNCTION("""COMPUTED_VALUE"""),"graft")</f>
        <v>graft</v>
      </c>
      <c r="I6" s="8" t="str">
        <f>IFERROR(__xludf.DUMMYFUNCTION("""COMPUTED_VALUE"""),"C005")</f>
        <v>C005</v>
      </c>
      <c r="J6" s="8" t="str">
        <f>IFERROR(__xludf.DUMMYFUNCTION("""COMPUTED_VALUE"""),"01N05")</f>
        <v>01N05</v>
      </c>
      <c r="K6" s="8"/>
      <c r="L6" s="8">
        <f>IFERROR(__xludf.DUMMYFUNCTION("""COMPUTED_VALUE"""),1.0)</f>
        <v>1</v>
      </c>
      <c r="M6" s="8">
        <f>IFERROR(__xludf.DUMMYFUNCTION("""COMPUTED_VALUE"""),0.0)</f>
        <v>0</v>
      </c>
      <c r="N6" s="8">
        <f>IFERROR(__xludf.DUMMYFUNCTION("""COMPUTED_VALUE"""),0.0)</f>
        <v>0</v>
      </c>
      <c r="O6" s="8"/>
      <c r="P6" s="8"/>
      <c r="Q6" s="8"/>
      <c r="R6" s="8"/>
      <c r="S6" s="8"/>
      <c r="T6" s="8"/>
      <c r="U6" s="8"/>
      <c r="V6" s="8"/>
      <c r="W6" s="8"/>
      <c r="X6" s="8"/>
      <c r="Y6" s="8"/>
      <c r="Z6" s="8"/>
    </row>
    <row r="7">
      <c r="A7" s="8">
        <f>IFERROR(__xludf.DUMMYFUNCTION("""COMPUTED_VALUE"""),6.0)</f>
        <v>6</v>
      </c>
      <c r="B7" s="8" t="str">
        <f>IFERROR(__xludf.DUMMYFUNCTION("""COMPUTED_VALUE"""),"cashew")</f>
        <v>cashew</v>
      </c>
      <c r="C7" s="8" t="str">
        <f>IFERROR(__xludf.DUMMYFUNCTION("""COMPUTED_VALUE"""),"graft")</f>
        <v>graft</v>
      </c>
      <c r="D7" s="55" t="str">
        <f>IFERROR(__xludf.DUMMYFUNCTION("""COMPUTED_VALUE"""),"Anacardium occidentale")</f>
        <v>Anacardium occidentale</v>
      </c>
      <c r="E7" s="8" t="str">
        <f>IFERROR(__xludf.DUMMYFUNCTION("""COMPUTED_VALUE"""),"X4297 (Red)?")</f>
        <v>X4297 (Red)?</v>
      </c>
      <c r="F7" s="8" t="str">
        <f>IFERROR(__xludf.DUMMYFUNCTION("""COMPUTED_VALUE"""),"Cashew")</f>
        <v>Cashew</v>
      </c>
      <c r="G7" s="8" t="str">
        <f>IFERROR(__xludf.DUMMYFUNCTION("""COMPUTED_VALUE"""),"Anacardier")</f>
        <v>Anacardier</v>
      </c>
      <c r="H7" s="8" t="str">
        <f>IFERROR(__xludf.DUMMYFUNCTION("""COMPUTED_VALUE"""),"graft")</f>
        <v>graft</v>
      </c>
      <c r="I7" s="8" t="str">
        <f>IFERROR(__xludf.DUMMYFUNCTION("""COMPUTED_VALUE"""),"C006")</f>
        <v>C006</v>
      </c>
      <c r="J7" s="8" t="str">
        <f>IFERROR(__xludf.DUMMYFUNCTION("""COMPUTED_VALUE"""),"01N06")</f>
        <v>01N06</v>
      </c>
      <c r="K7" s="8"/>
      <c r="L7" s="8">
        <f>IFERROR(__xludf.DUMMYFUNCTION("""COMPUTED_VALUE"""),1.0)</f>
        <v>1</v>
      </c>
      <c r="M7" s="8">
        <f>IFERROR(__xludf.DUMMYFUNCTION("""COMPUTED_VALUE"""),0.0)</f>
        <v>0</v>
      </c>
      <c r="N7" s="8">
        <f>IFERROR(__xludf.DUMMYFUNCTION("""COMPUTED_VALUE"""),0.0)</f>
        <v>0</v>
      </c>
      <c r="O7" s="8"/>
      <c r="P7" s="8"/>
      <c r="Q7" s="8"/>
      <c r="R7" s="8"/>
      <c r="S7" s="8"/>
      <c r="T7" s="8"/>
      <c r="U7" s="8"/>
      <c r="V7" s="8"/>
      <c r="W7" s="8"/>
      <c r="X7" s="8"/>
      <c r="Y7" s="8"/>
      <c r="Z7" s="8"/>
    </row>
    <row r="8">
      <c r="A8" s="8">
        <f>IFERROR(__xludf.DUMMYFUNCTION("""COMPUTED_VALUE"""),7.0)</f>
        <v>7</v>
      </c>
      <c r="B8" s="8" t="str">
        <f>IFERROR(__xludf.DUMMYFUNCTION("""COMPUTED_VALUE"""),"cashew")</f>
        <v>cashew</v>
      </c>
      <c r="C8" s="8" t="str">
        <f>IFERROR(__xludf.DUMMYFUNCTION("""COMPUTED_VALUE"""),"graft")</f>
        <v>graft</v>
      </c>
      <c r="D8" s="55" t="str">
        <f>IFERROR(__xludf.DUMMYFUNCTION("""COMPUTED_VALUE"""),"Anacardium occidentale")</f>
        <v>Anacardium occidentale</v>
      </c>
      <c r="E8" s="8" t="str">
        <f>IFERROR(__xludf.DUMMYFUNCTION("""COMPUTED_VALUE"""),"X4297 (Red)?")</f>
        <v>X4297 (Red)?</v>
      </c>
      <c r="F8" s="8" t="str">
        <f>IFERROR(__xludf.DUMMYFUNCTION("""COMPUTED_VALUE"""),"Cashew")</f>
        <v>Cashew</v>
      </c>
      <c r="G8" s="8" t="str">
        <f>IFERROR(__xludf.DUMMYFUNCTION("""COMPUTED_VALUE"""),"Anacardier")</f>
        <v>Anacardier</v>
      </c>
      <c r="H8" s="8" t="str">
        <f>IFERROR(__xludf.DUMMYFUNCTION("""COMPUTED_VALUE"""),"graft")</f>
        <v>graft</v>
      </c>
      <c r="I8" s="8" t="str">
        <f>IFERROR(__xludf.DUMMYFUNCTION("""COMPUTED_VALUE"""),"C007")</f>
        <v>C007</v>
      </c>
      <c r="J8" s="8" t="str">
        <f>IFERROR(__xludf.DUMMYFUNCTION("""COMPUTED_VALUE"""),"01N07")</f>
        <v>01N07</v>
      </c>
      <c r="K8" s="8"/>
      <c r="L8" s="8">
        <f>IFERROR(__xludf.DUMMYFUNCTION("""COMPUTED_VALUE"""),1.0)</f>
        <v>1</v>
      </c>
      <c r="M8" s="8">
        <f>IFERROR(__xludf.DUMMYFUNCTION("""COMPUTED_VALUE"""),0.0)</f>
        <v>0</v>
      </c>
      <c r="N8" s="8">
        <f>IFERROR(__xludf.DUMMYFUNCTION("""COMPUTED_VALUE"""),0.0)</f>
        <v>0</v>
      </c>
      <c r="O8" s="8"/>
      <c r="P8" s="8"/>
      <c r="Q8" s="8"/>
      <c r="R8" s="8"/>
      <c r="S8" s="8"/>
      <c r="T8" s="8"/>
      <c r="U8" s="8"/>
      <c r="V8" s="8"/>
      <c r="W8" s="8"/>
      <c r="X8" s="8"/>
      <c r="Y8" s="8"/>
      <c r="Z8" s="8"/>
    </row>
    <row r="9">
      <c r="A9" s="8">
        <f>IFERROR(__xludf.DUMMYFUNCTION("""COMPUTED_VALUE"""),8.0)</f>
        <v>8</v>
      </c>
      <c r="B9" s="8" t="str">
        <f>IFERROR(__xludf.DUMMYFUNCTION("""COMPUTED_VALUE"""),"cashew")</f>
        <v>cashew</v>
      </c>
      <c r="C9" s="8" t="str">
        <f>IFERROR(__xludf.DUMMYFUNCTION("""COMPUTED_VALUE"""),"graft")</f>
        <v>graft</v>
      </c>
      <c r="D9" s="55" t="str">
        <f>IFERROR(__xludf.DUMMYFUNCTION("""COMPUTED_VALUE"""),"Anacardium occidentale")</f>
        <v>Anacardium occidentale</v>
      </c>
      <c r="E9" s="8" t="str">
        <f>IFERROR(__xludf.DUMMYFUNCTION("""COMPUTED_VALUE"""),"X4297 (Red)?")</f>
        <v>X4297 (Red)?</v>
      </c>
      <c r="F9" s="8" t="str">
        <f>IFERROR(__xludf.DUMMYFUNCTION("""COMPUTED_VALUE"""),"Cashew")</f>
        <v>Cashew</v>
      </c>
      <c r="G9" s="8" t="str">
        <f>IFERROR(__xludf.DUMMYFUNCTION("""COMPUTED_VALUE"""),"Anacardier")</f>
        <v>Anacardier</v>
      </c>
      <c r="H9" s="8" t="str">
        <f>IFERROR(__xludf.DUMMYFUNCTION("""COMPUTED_VALUE"""),"graft")</f>
        <v>graft</v>
      </c>
      <c r="I9" s="8" t="str">
        <f>IFERROR(__xludf.DUMMYFUNCTION("""COMPUTED_VALUE"""),"C008")</f>
        <v>C008</v>
      </c>
      <c r="J9" s="8" t="str">
        <f>IFERROR(__xludf.DUMMYFUNCTION("""COMPUTED_VALUE"""),"01N08")</f>
        <v>01N08</v>
      </c>
      <c r="K9" s="8"/>
      <c r="L9" s="8">
        <f>IFERROR(__xludf.DUMMYFUNCTION("""COMPUTED_VALUE"""),1.0)</f>
        <v>1</v>
      </c>
      <c r="M9" s="8">
        <f>IFERROR(__xludf.DUMMYFUNCTION("""COMPUTED_VALUE"""),0.0)</f>
        <v>0</v>
      </c>
      <c r="N9" s="8">
        <f>IFERROR(__xludf.DUMMYFUNCTION("""COMPUTED_VALUE"""),0.0)</f>
        <v>0</v>
      </c>
      <c r="O9" s="8"/>
      <c r="P9" s="8"/>
      <c r="Q9" s="8"/>
      <c r="R9" s="8"/>
      <c r="S9" s="8"/>
      <c r="T9" s="8"/>
      <c r="U9" s="8"/>
      <c r="V9" s="8"/>
      <c r="W9" s="8"/>
      <c r="X9" s="8"/>
      <c r="Y9" s="8"/>
      <c r="Z9" s="8"/>
    </row>
    <row r="10">
      <c r="A10" s="8">
        <f>IFERROR(__xludf.DUMMYFUNCTION("""COMPUTED_VALUE"""),9.0)</f>
        <v>9</v>
      </c>
      <c r="B10" s="8" t="str">
        <f>IFERROR(__xludf.DUMMYFUNCTION("""COMPUTED_VALUE"""),"cashew")</f>
        <v>cashew</v>
      </c>
      <c r="C10" s="8" t="str">
        <f>IFERROR(__xludf.DUMMYFUNCTION("""COMPUTED_VALUE"""),"graft")</f>
        <v>graft</v>
      </c>
      <c r="D10" s="55" t="str">
        <f>IFERROR(__xludf.DUMMYFUNCTION("""COMPUTED_VALUE"""),"Anacardium occidentale")</f>
        <v>Anacardium occidentale</v>
      </c>
      <c r="E10" s="8" t="str">
        <f>IFERROR(__xludf.DUMMYFUNCTION("""COMPUTED_VALUE"""),"X4297 (Red)?")</f>
        <v>X4297 (Red)?</v>
      </c>
      <c r="F10" s="8" t="str">
        <f>IFERROR(__xludf.DUMMYFUNCTION("""COMPUTED_VALUE"""),"Cashew")</f>
        <v>Cashew</v>
      </c>
      <c r="G10" s="8" t="str">
        <f>IFERROR(__xludf.DUMMYFUNCTION("""COMPUTED_VALUE"""),"Anacardier")</f>
        <v>Anacardier</v>
      </c>
      <c r="H10" s="8" t="str">
        <f>IFERROR(__xludf.DUMMYFUNCTION("""COMPUTED_VALUE"""),"graft")</f>
        <v>graft</v>
      </c>
      <c r="I10" s="8" t="str">
        <f>IFERROR(__xludf.DUMMYFUNCTION("""COMPUTED_VALUE"""),"C009")</f>
        <v>C009</v>
      </c>
      <c r="J10" s="8" t="str">
        <f>IFERROR(__xludf.DUMMYFUNCTION("""COMPUTED_VALUE"""),"01N09")</f>
        <v>01N09</v>
      </c>
      <c r="K10" s="8"/>
      <c r="L10" s="8">
        <f>IFERROR(__xludf.DUMMYFUNCTION("""COMPUTED_VALUE"""),1.0)</f>
        <v>1</v>
      </c>
      <c r="M10" s="8">
        <f>IFERROR(__xludf.DUMMYFUNCTION("""COMPUTED_VALUE"""),0.0)</f>
        <v>0</v>
      </c>
      <c r="N10" s="8">
        <f>IFERROR(__xludf.DUMMYFUNCTION("""COMPUTED_VALUE"""),0.0)</f>
        <v>0</v>
      </c>
      <c r="O10" s="8"/>
      <c r="P10" s="8"/>
      <c r="Q10" s="8"/>
      <c r="R10" s="8"/>
      <c r="S10" s="8"/>
      <c r="T10" s="8"/>
      <c r="U10" s="8"/>
      <c r="V10" s="8"/>
      <c r="W10" s="8"/>
      <c r="X10" s="8"/>
      <c r="Y10" s="8"/>
      <c r="Z10" s="8"/>
    </row>
    <row r="11">
      <c r="A11" s="8">
        <f>IFERROR(__xludf.DUMMYFUNCTION("""COMPUTED_VALUE"""),10.0)</f>
        <v>10</v>
      </c>
      <c r="B11" s="8" t="str">
        <f>IFERROR(__xludf.DUMMYFUNCTION("""COMPUTED_VALUE"""),"cashew")</f>
        <v>cashew</v>
      </c>
      <c r="C11" s="8" t="str">
        <f>IFERROR(__xludf.DUMMYFUNCTION("""COMPUTED_VALUE"""),"graft")</f>
        <v>graft</v>
      </c>
      <c r="D11" s="55" t="str">
        <f>IFERROR(__xludf.DUMMYFUNCTION("""COMPUTED_VALUE"""),"Anacardium occidentale")</f>
        <v>Anacardium occidentale</v>
      </c>
      <c r="E11" s="8" t="str">
        <f>IFERROR(__xludf.DUMMYFUNCTION("""COMPUTED_VALUE"""),"X4297 (Red)?")</f>
        <v>X4297 (Red)?</v>
      </c>
      <c r="F11" s="8" t="str">
        <f>IFERROR(__xludf.DUMMYFUNCTION("""COMPUTED_VALUE"""),"Cashew")</f>
        <v>Cashew</v>
      </c>
      <c r="G11" s="8" t="str">
        <f>IFERROR(__xludf.DUMMYFUNCTION("""COMPUTED_VALUE"""),"Anacardier")</f>
        <v>Anacardier</v>
      </c>
      <c r="H11" s="8" t="str">
        <f>IFERROR(__xludf.DUMMYFUNCTION("""COMPUTED_VALUE"""),"graft")</f>
        <v>graft</v>
      </c>
      <c r="I11" s="8" t="str">
        <f>IFERROR(__xludf.DUMMYFUNCTION("""COMPUTED_VALUE"""),"C010")</f>
        <v>C010</v>
      </c>
      <c r="J11" s="8" t="str">
        <f>IFERROR(__xludf.DUMMYFUNCTION("""COMPUTED_VALUE"""),"01N10")</f>
        <v>01N10</v>
      </c>
      <c r="K11" s="8"/>
      <c r="L11" s="8">
        <f>IFERROR(__xludf.DUMMYFUNCTION("""COMPUTED_VALUE"""),1.0)</f>
        <v>1</v>
      </c>
      <c r="M11" s="8">
        <f>IFERROR(__xludf.DUMMYFUNCTION("""COMPUTED_VALUE"""),0.0)</f>
        <v>0</v>
      </c>
      <c r="N11" s="8">
        <f>IFERROR(__xludf.DUMMYFUNCTION("""COMPUTED_VALUE"""),0.0)</f>
        <v>0</v>
      </c>
      <c r="O11" s="8"/>
      <c r="P11" s="8"/>
      <c r="Q11" s="8"/>
      <c r="R11" s="8"/>
      <c r="S11" s="8"/>
      <c r="T11" s="8"/>
      <c r="U11" s="8"/>
      <c r="V11" s="8"/>
      <c r="W11" s="8"/>
      <c r="X11" s="8"/>
      <c r="Y11" s="8"/>
      <c r="Z11" s="8"/>
    </row>
    <row r="12">
      <c r="A12" s="8">
        <f>IFERROR(__xludf.DUMMYFUNCTION("""COMPUTED_VALUE"""),11.0)</f>
        <v>11</v>
      </c>
      <c r="B12" s="8" t="str">
        <f>IFERROR(__xludf.DUMMYFUNCTION("""COMPUTED_VALUE"""),"cashew")</f>
        <v>cashew</v>
      </c>
      <c r="C12" s="8" t="str">
        <f>IFERROR(__xludf.DUMMYFUNCTION("""COMPUTED_VALUE"""),"graft")</f>
        <v>graft</v>
      </c>
      <c r="D12" s="55" t="str">
        <f>IFERROR(__xludf.DUMMYFUNCTION("""COMPUTED_VALUE"""),"Anacardium occidentale")</f>
        <v>Anacardium occidentale</v>
      </c>
      <c r="E12" s="8" t="str">
        <f>IFERROR(__xludf.DUMMYFUNCTION("""COMPUTED_VALUE"""),"X4297 (Red)?")</f>
        <v>X4297 (Red)?</v>
      </c>
      <c r="F12" s="8" t="str">
        <f>IFERROR(__xludf.DUMMYFUNCTION("""COMPUTED_VALUE"""),"Cashew")</f>
        <v>Cashew</v>
      </c>
      <c r="G12" s="8" t="str">
        <f>IFERROR(__xludf.DUMMYFUNCTION("""COMPUTED_VALUE"""),"Anacardier")</f>
        <v>Anacardier</v>
      </c>
      <c r="H12" s="8" t="str">
        <f>IFERROR(__xludf.DUMMYFUNCTION("""COMPUTED_VALUE"""),"graft")</f>
        <v>graft</v>
      </c>
      <c r="I12" s="8" t="str">
        <f>IFERROR(__xludf.DUMMYFUNCTION("""COMPUTED_VALUE"""),"C011")</f>
        <v>C011</v>
      </c>
      <c r="J12" s="8" t="str">
        <f>IFERROR(__xludf.DUMMYFUNCTION("""COMPUTED_VALUE"""),"01N11")</f>
        <v>01N11</v>
      </c>
      <c r="K12" s="8"/>
      <c r="L12" s="8">
        <f>IFERROR(__xludf.DUMMYFUNCTION("""COMPUTED_VALUE"""),1.0)</f>
        <v>1</v>
      </c>
      <c r="M12" s="8">
        <f>IFERROR(__xludf.DUMMYFUNCTION("""COMPUTED_VALUE"""),0.0)</f>
        <v>0</v>
      </c>
      <c r="N12" s="8">
        <f>IFERROR(__xludf.DUMMYFUNCTION("""COMPUTED_VALUE"""),0.0)</f>
        <v>0</v>
      </c>
      <c r="O12" s="8"/>
      <c r="P12" s="8"/>
      <c r="Q12" s="8"/>
      <c r="R12" s="8"/>
      <c r="S12" s="8"/>
      <c r="T12" s="8"/>
      <c r="U12" s="8"/>
      <c r="V12" s="8"/>
      <c r="W12" s="8"/>
      <c r="X12" s="8"/>
      <c r="Y12" s="8"/>
      <c r="Z12" s="8"/>
    </row>
    <row r="13">
      <c r="A13" s="8">
        <f>IFERROR(__xludf.DUMMYFUNCTION("""COMPUTED_VALUE"""),12.0)</f>
        <v>12</v>
      </c>
      <c r="B13" s="8" t="str">
        <f>IFERROR(__xludf.DUMMYFUNCTION("""COMPUTED_VALUE"""),"cashew")</f>
        <v>cashew</v>
      </c>
      <c r="C13" s="8" t="str">
        <f>IFERROR(__xludf.DUMMYFUNCTION("""COMPUTED_VALUE"""),"graft")</f>
        <v>graft</v>
      </c>
      <c r="D13" s="55" t="str">
        <f>IFERROR(__xludf.DUMMYFUNCTION("""COMPUTED_VALUE"""),"Anacardium occidentale")</f>
        <v>Anacardium occidentale</v>
      </c>
      <c r="E13" s="8" t="str">
        <f>IFERROR(__xludf.DUMMYFUNCTION("""COMPUTED_VALUE"""),"X4297 (Red)")</f>
        <v>X4297 (Red)</v>
      </c>
      <c r="F13" s="8" t="str">
        <f>IFERROR(__xludf.DUMMYFUNCTION("""COMPUTED_VALUE"""),"Cashew")</f>
        <v>Cashew</v>
      </c>
      <c r="G13" s="8" t="str">
        <f>IFERROR(__xludf.DUMMYFUNCTION("""COMPUTED_VALUE"""),"Anacardier")</f>
        <v>Anacardier</v>
      </c>
      <c r="H13" s="8" t="str">
        <f>IFERROR(__xludf.DUMMYFUNCTION("""COMPUTED_VALUE"""),"graft")</f>
        <v>graft</v>
      </c>
      <c r="I13" s="8" t="str">
        <f>IFERROR(__xludf.DUMMYFUNCTION("""COMPUTED_VALUE"""),"C012")</f>
        <v>C012</v>
      </c>
      <c r="J13" s="8" t="str">
        <f>IFERROR(__xludf.DUMMYFUNCTION("""COMPUTED_VALUE"""),"01N12")</f>
        <v>01N12</v>
      </c>
      <c r="K13" s="8"/>
      <c r="L13" s="8">
        <f>IFERROR(__xludf.DUMMYFUNCTION("""COMPUTED_VALUE"""),1.0)</f>
        <v>1</v>
      </c>
      <c r="M13" s="8">
        <f>IFERROR(__xludf.DUMMYFUNCTION("""COMPUTED_VALUE"""),0.0)</f>
        <v>0</v>
      </c>
      <c r="N13" s="8">
        <f>IFERROR(__xludf.DUMMYFUNCTION("""COMPUTED_VALUE"""),22.0)</f>
        <v>22</v>
      </c>
      <c r="O13" s="8"/>
      <c r="P13" s="8"/>
      <c r="Q13" s="8"/>
      <c r="R13" s="8"/>
      <c r="S13" s="8"/>
      <c r="T13" s="8"/>
      <c r="U13" s="8"/>
      <c r="V13" s="8"/>
      <c r="W13" s="8"/>
      <c r="X13" s="8"/>
      <c r="Y13" s="8"/>
      <c r="Z13" s="8"/>
    </row>
    <row r="14">
      <c r="A14" s="8">
        <f>IFERROR(__xludf.DUMMYFUNCTION("""COMPUTED_VALUE"""),13.0)</f>
        <v>13</v>
      </c>
      <c r="B14" s="8" t="str">
        <f>IFERROR(__xludf.DUMMYFUNCTION("""COMPUTED_VALUE"""),"cashew")</f>
        <v>cashew</v>
      </c>
      <c r="C14" s="8" t="str">
        <f>IFERROR(__xludf.DUMMYFUNCTION("""COMPUTED_VALUE"""),"graft")</f>
        <v>graft</v>
      </c>
      <c r="D14" s="55" t="str">
        <f>IFERROR(__xludf.DUMMYFUNCTION("""COMPUTED_VALUE"""),"Anacardium occidentale")</f>
        <v>Anacardium occidentale</v>
      </c>
      <c r="E14" s="8" t="str">
        <f>IFERROR(__xludf.DUMMYFUNCTION("""COMPUTED_VALUE"""),"X4297 (Red)")</f>
        <v>X4297 (Red)</v>
      </c>
      <c r="F14" s="8" t="str">
        <f>IFERROR(__xludf.DUMMYFUNCTION("""COMPUTED_VALUE"""),"Cashew")</f>
        <v>Cashew</v>
      </c>
      <c r="G14" s="8" t="str">
        <f>IFERROR(__xludf.DUMMYFUNCTION("""COMPUTED_VALUE"""),"Anacardier")</f>
        <v>Anacardier</v>
      </c>
      <c r="H14" s="8" t="str">
        <f>IFERROR(__xludf.DUMMYFUNCTION("""COMPUTED_VALUE"""),"graft")</f>
        <v>graft</v>
      </c>
      <c r="I14" s="8" t="str">
        <f>IFERROR(__xludf.DUMMYFUNCTION("""COMPUTED_VALUE"""),"C013")</f>
        <v>C013</v>
      </c>
      <c r="J14" s="8" t="str">
        <f>IFERROR(__xludf.DUMMYFUNCTION("""COMPUTED_VALUE"""),"01N13")</f>
        <v>01N13</v>
      </c>
      <c r="K14" s="8"/>
      <c r="L14" s="8">
        <f>IFERROR(__xludf.DUMMYFUNCTION("""COMPUTED_VALUE"""),1.0)</f>
        <v>1</v>
      </c>
      <c r="M14" s="8">
        <f>IFERROR(__xludf.DUMMYFUNCTION("""COMPUTED_VALUE"""),0.0)</f>
        <v>0</v>
      </c>
      <c r="N14" s="8">
        <f>IFERROR(__xludf.DUMMYFUNCTION("""COMPUTED_VALUE"""),22.0)</f>
        <v>22</v>
      </c>
      <c r="O14" s="8"/>
      <c r="P14" s="8"/>
      <c r="Q14" s="8"/>
      <c r="R14" s="8"/>
      <c r="S14" s="8"/>
      <c r="T14" s="8"/>
      <c r="U14" s="8"/>
      <c r="V14" s="8"/>
      <c r="W14" s="8"/>
      <c r="X14" s="8"/>
      <c r="Y14" s="8"/>
      <c r="Z14" s="8"/>
    </row>
    <row r="15">
      <c r="A15" s="8">
        <f>IFERROR(__xludf.DUMMYFUNCTION("""COMPUTED_VALUE"""),14.0)</f>
        <v>14</v>
      </c>
      <c r="B15" s="8" t="str">
        <f>IFERROR(__xludf.DUMMYFUNCTION("""COMPUTED_VALUE"""),"cashew")</f>
        <v>cashew</v>
      </c>
      <c r="C15" s="8" t="str">
        <f>IFERROR(__xludf.DUMMYFUNCTION("""COMPUTED_VALUE"""),"graft")</f>
        <v>graft</v>
      </c>
      <c r="D15" s="55" t="str">
        <f>IFERROR(__xludf.DUMMYFUNCTION("""COMPUTED_VALUE"""),"Anacardium occidentale")</f>
        <v>Anacardium occidentale</v>
      </c>
      <c r="E15" s="8" t="str">
        <f>IFERROR(__xludf.DUMMYFUNCTION("""COMPUTED_VALUE"""),"Z330 (Orange)")</f>
        <v>Z330 (Orange)</v>
      </c>
      <c r="F15" s="8" t="str">
        <f>IFERROR(__xludf.DUMMYFUNCTION("""COMPUTED_VALUE"""),"Cashew")</f>
        <v>Cashew</v>
      </c>
      <c r="G15" s="8" t="str">
        <f>IFERROR(__xludf.DUMMYFUNCTION("""COMPUTED_VALUE"""),"Anacardier")</f>
        <v>Anacardier</v>
      </c>
      <c r="H15" s="8" t="str">
        <f>IFERROR(__xludf.DUMMYFUNCTION("""COMPUTED_VALUE"""),"graft")</f>
        <v>graft</v>
      </c>
      <c r="I15" s="8" t="str">
        <f>IFERROR(__xludf.DUMMYFUNCTION("""COMPUTED_VALUE"""),"C014")</f>
        <v>C014</v>
      </c>
      <c r="J15" s="8" t="str">
        <f>IFERROR(__xludf.DUMMYFUNCTION("""COMPUTED_VALUE"""),"02N01")</f>
        <v>02N01</v>
      </c>
      <c r="K15" s="8"/>
      <c r="L15" s="8">
        <f>IFERROR(__xludf.DUMMYFUNCTION("""COMPUTED_VALUE"""),1.0)</f>
        <v>1</v>
      </c>
      <c r="M15" s="8">
        <f>IFERROR(__xludf.DUMMYFUNCTION("""COMPUTED_VALUE"""),0.0)</f>
        <v>0</v>
      </c>
      <c r="N15" s="8">
        <f>IFERROR(__xludf.DUMMYFUNCTION("""COMPUTED_VALUE"""),23.0)</f>
        <v>23</v>
      </c>
      <c r="O15" s="8"/>
      <c r="P15" s="8"/>
      <c r="Q15" s="8"/>
      <c r="R15" s="8"/>
      <c r="S15" s="8"/>
      <c r="T15" s="8"/>
      <c r="U15" s="8"/>
      <c r="V15" s="8"/>
      <c r="W15" s="8"/>
      <c r="X15" s="8"/>
      <c r="Y15" s="8"/>
      <c r="Z15" s="8"/>
    </row>
    <row r="16">
      <c r="A16" s="8">
        <f>IFERROR(__xludf.DUMMYFUNCTION("""COMPUTED_VALUE"""),15.0)</f>
        <v>15</v>
      </c>
      <c r="B16" s="8" t="str">
        <f>IFERROR(__xludf.DUMMYFUNCTION("""COMPUTED_VALUE"""),"cashew")</f>
        <v>cashew</v>
      </c>
      <c r="C16" s="8" t="str">
        <f>IFERROR(__xludf.DUMMYFUNCTION("""COMPUTED_VALUE"""),"graft")</f>
        <v>graft</v>
      </c>
      <c r="D16" s="55" t="str">
        <f>IFERROR(__xludf.DUMMYFUNCTION("""COMPUTED_VALUE"""),"Anacardium occidentale")</f>
        <v>Anacardium occidentale</v>
      </c>
      <c r="E16" s="8" t="str">
        <f>IFERROR(__xludf.DUMMYFUNCTION("""COMPUTED_VALUE"""),"Z330 (Orange)")</f>
        <v>Z330 (Orange)</v>
      </c>
      <c r="F16" s="8" t="str">
        <f>IFERROR(__xludf.DUMMYFUNCTION("""COMPUTED_VALUE"""),"Cashew")</f>
        <v>Cashew</v>
      </c>
      <c r="G16" s="8" t="str">
        <f>IFERROR(__xludf.DUMMYFUNCTION("""COMPUTED_VALUE"""),"Anacardier")</f>
        <v>Anacardier</v>
      </c>
      <c r="H16" s="8" t="str">
        <f>IFERROR(__xludf.DUMMYFUNCTION("""COMPUTED_VALUE"""),"graft")</f>
        <v>graft</v>
      </c>
      <c r="I16" s="8" t="str">
        <f>IFERROR(__xludf.DUMMYFUNCTION("""COMPUTED_VALUE"""),"C015")</f>
        <v>C015</v>
      </c>
      <c r="J16" s="8" t="str">
        <f>IFERROR(__xludf.DUMMYFUNCTION("""COMPUTED_VALUE"""),"02N02")</f>
        <v>02N02</v>
      </c>
      <c r="K16" s="8"/>
      <c r="L16" s="8">
        <f>IFERROR(__xludf.DUMMYFUNCTION("""COMPUTED_VALUE"""),1.0)</f>
        <v>1</v>
      </c>
      <c r="M16" s="8">
        <f>IFERROR(__xludf.DUMMYFUNCTION("""COMPUTED_VALUE"""),0.0)</f>
        <v>0</v>
      </c>
      <c r="N16" s="8">
        <f>IFERROR(__xludf.DUMMYFUNCTION("""COMPUTED_VALUE"""),23.0)</f>
        <v>23</v>
      </c>
      <c r="O16" s="8"/>
      <c r="P16" s="8"/>
      <c r="Q16" s="8"/>
      <c r="R16" s="8"/>
      <c r="S16" s="8"/>
      <c r="T16" s="8"/>
      <c r="U16" s="8"/>
      <c r="V16" s="8"/>
      <c r="W16" s="8"/>
      <c r="X16" s="8"/>
      <c r="Y16" s="8"/>
      <c r="Z16" s="8"/>
    </row>
    <row r="17">
      <c r="A17" s="8">
        <f>IFERROR(__xludf.DUMMYFUNCTION("""COMPUTED_VALUE"""),16.0)</f>
        <v>16</v>
      </c>
      <c r="B17" s="8" t="str">
        <f>IFERROR(__xludf.DUMMYFUNCTION("""COMPUTED_VALUE"""),"cashew")</f>
        <v>cashew</v>
      </c>
      <c r="C17" s="8" t="str">
        <f>IFERROR(__xludf.DUMMYFUNCTION("""COMPUTED_VALUE"""),"graft")</f>
        <v>graft</v>
      </c>
      <c r="D17" s="55" t="str">
        <f>IFERROR(__xludf.DUMMYFUNCTION("""COMPUTED_VALUE"""),"Anacardium occidentale")</f>
        <v>Anacardium occidentale</v>
      </c>
      <c r="E17" s="8" t="str">
        <f>IFERROR(__xludf.DUMMYFUNCTION("""COMPUTED_VALUE"""),"Z330 (Orange)")</f>
        <v>Z330 (Orange)</v>
      </c>
      <c r="F17" s="8" t="str">
        <f>IFERROR(__xludf.DUMMYFUNCTION("""COMPUTED_VALUE"""),"Cashew")</f>
        <v>Cashew</v>
      </c>
      <c r="G17" s="8" t="str">
        <f>IFERROR(__xludf.DUMMYFUNCTION("""COMPUTED_VALUE"""),"Anacardier")</f>
        <v>Anacardier</v>
      </c>
      <c r="H17" s="8" t="str">
        <f>IFERROR(__xludf.DUMMYFUNCTION("""COMPUTED_VALUE"""),"graft")</f>
        <v>graft</v>
      </c>
      <c r="I17" s="8" t="str">
        <f>IFERROR(__xludf.DUMMYFUNCTION("""COMPUTED_VALUE"""),"C016")</f>
        <v>C016</v>
      </c>
      <c r="J17" s="8" t="str">
        <f>IFERROR(__xludf.DUMMYFUNCTION("""COMPUTED_VALUE"""),"02N04")</f>
        <v>02N04</v>
      </c>
      <c r="K17" s="8"/>
      <c r="L17" s="8">
        <f>IFERROR(__xludf.DUMMYFUNCTION("""COMPUTED_VALUE"""),1.0)</f>
        <v>1</v>
      </c>
      <c r="M17" s="8">
        <f>IFERROR(__xludf.DUMMYFUNCTION("""COMPUTED_VALUE"""),0.0)</f>
        <v>0</v>
      </c>
      <c r="N17" s="8">
        <f>IFERROR(__xludf.DUMMYFUNCTION("""COMPUTED_VALUE"""),23.0)</f>
        <v>23</v>
      </c>
      <c r="O17" s="8"/>
      <c r="P17" s="8"/>
      <c r="Q17" s="8"/>
      <c r="R17" s="8"/>
      <c r="S17" s="8"/>
      <c r="T17" s="8"/>
      <c r="U17" s="8"/>
      <c r="V17" s="8"/>
      <c r="W17" s="8"/>
      <c r="X17" s="8"/>
      <c r="Y17" s="8"/>
      <c r="Z17" s="8"/>
    </row>
    <row r="18">
      <c r="A18" s="8">
        <f>IFERROR(__xludf.DUMMYFUNCTION("""COMPUTED_VALUE"""),17.0)</f>
        <v>17</v>
      </c>
      <c r="B18" s="8" t="str">
        <f>IFERROR(__xludf.DUMMYFUNCTION("""COMPUTED_VALUE"""),"cashew")</f>
        <v>cashew</v>
      </c>
      <c r="C18" s="8" t="str">
        <f>IFERROR(__xludf.DUMMYFUNCTION("""COMPUTED_VALUE"""),"graft")</f>
        <v>graft</v>
      </c>
      <c r="D18" s="55" t="str">
        <f>IFERROR(__xludf.DUMMYFUNCTION("""COMPUTED_VALUE"""),"Anacardium occidentale")</f>
        <v>Anacardium occidentale</v>
      </c>
      <c r="E18" s="8" t="str">
        <f>IFERROR(__xludf.DUMMYFUNCTION("""COMPUTED_VALUE"""),"Z330 (Orange)")</f>
        <v>Z330 (Orange)</v>
      </c>
      <c r="F18" s="8" t="str">
        <f>IFERROR(__xludf.DUMMYFUNCTION("""COMPUTED_VALUE"""),"Cashew")</f>
        <v>Cashew</v>
      </c>
      <c r="G18" s="8" t="str">
        <f>IFERROR(__xludf.DUMMYFUNCTION("""COMPUTED_VALUE"""),"Anacardier")</f>
        <v>Anacardier</v>
      </c>
      <c r="H18" s="8" t="str">
        <f>IFERROR(__xludf.DUMMYFUNCTION("""COMPUTED_VALUE"""),"graft")</f>
        <v>graft</v>
      </c>
      <c r="I18" s="8" t="str">
        <f>IFERROR(__xludf.DUMMYFUNCTION("""COMPUTED_VALUE"""),"C017")</f>
        <v>C017</v>
      </c>
      <c r="J18" s="8" t="str">
        <f>IFERROR(__xludf.DUMMYFUNCTION("""COMPUTED_VALUE"""),"02N05")</f>
        <v>02N05</v>
      </c>
      <c r="K18" s="8"/>
      <c r="L18" s="8">
        <f>IFERROR(__xludf.DUMMYFUNCTION("""COMPUTED_VALUE"""),1.0)</f>
        <v>1</v>
      </c>
      <c r="M18" s="8">
        <f>IFERROR(__xludf.DUMMYFUNCTION("""COMPUTED_VALUE"""),0.0)</f>
        <v>0</v>
      </c>
      <c r="N18" s="8">
        <f>IFERROR(__xludf.DUMMYFUNCTION("""COMPUTED_VALUE"""),23.0)</f>
        <v>23</v>
      </c>
      <c r="O18" s="8"/>
      <c r="P18" s="8"/>
      <c r="Q18" s="8"/>
      <c r="R18" s="8"/>
      <c r="S18" s="8"/>
      <c r="T18" s="8"/>
      <c r="U18" s="8"/>
      <c r="V18" s="8"/>
      <c r="W18" s="8"/>
      <c r="X18" s="8"/>
      <c r="Y18" s="8"/>
      <c r="Z18" s="8"/>
    </row>
    <row r="19">
      <c r="A19" s="8">
        <f>IFERROR(__xludf.DUMMYFUNCTION("""COMPUTED_VALUE"""),18.0)</f>
        <v>18</v>
      </c>
      <c r="B19" s="8" t="str">
        <f>IFERROR(__xludf.DUMMYFUNCTION("""COMPUTED_VALUE"""),"cashew")</f>
        <v>cashew</v>
      </c>
      <c r="C19" s="8" t="str">
        <f>IFERROR(__xludf.DUMMYFUNCTION("""COMPUTED_VALUE"""),"graft")</f>
        <v>graft</v>
      </c>
      <c r="D19" s="55" t="str">
        <f>IFERROR(__xludf.DUMMYFUNCTION("""COMPUTED_VALUE"""),"Anacardium occidentale")</f>
        <v>Anacardium occidentale</v>
      </c>
      <c r="E19" s="8" t="str">
        <f>IFERROR(__xludf.DUMMYFUNCTION("""COMPUTED_VALUE"""),"Z330 (Orange)")</f>
        <v>Z330 (Orange)</v>
      </c>
      <c r="F19" s="8" t="str">
        <f>IFERROR(__xludf.DUMMYFUNCTION("""COMPUTED_VALUE"""),"Cashew")</f>
        <v>Cashew</v>
      </c>
      <c r="G19" s="8" t="str">
        <f>IFERROR(__xludf.DUMMYFUNCTION("""COMPUTED_VALUE"""),"Anacardier")</f>
        <v>Anacardier</v>
      </c>
      <c r="H19" s="8" t="str">
        <f>IFERROR(__xludf.DUMMYFUNCTION("""COMPUTED_VALUE"""),"graft")</f>
        <v>graft</v>
      </c>
      <c r="I19" s="8" t="str">
        <f>IFERROR(__xludf.DUMMYFUNCTION("""COMPUTED_VALUE"""),"C018")</f>
        <v>C018</v>
      </c>
      <c r="J19" s="8" t="str">
        <f>IFERROR(__xludf.DUMMYFUNCTION("""COMPUTED_VALUE"""),"02N06")</f>
        <v>02N06</v>
      </c>
      <c r="K19" s="8"/>
      <c r="L19" s="8">
        <f>IFERROR(__xludf.DUMMYFUNCTION("""COMPUTED_VALUE"""),1.0)</f>
        <v>1</v>
      </c>
      <c r="M19" s="8">
        <f>IFERROR(__xludf.DUMMYFUNCTION("""COMPUTED_VALUE"""),0.0)</f>
        <v>0</v>
      </c>
      <c r="N19" s="8">
        <f>IFERROR(__xludf.DUMMYFUNCTION("""COMPUTED_VALUE"""),23.0)</f>
        <v>23</v>
      </c>
      <c r="O19" s="8"/>
      <c r="P19" s="8"/>
      <c r="Q19" s="8"/>
      <c r="R19" s="8"/>
      <c r="S19" s="8"/>
      <c r="T19" s="8"/>
      <c r="U19" s="8"/>
      <c r="V19" s="8"/>
      <c r="W19" s="8"/>
      <c r="X19" s="8"/>
      <c r="Y19" s="8"/>
      <c r="Z19" s="8"/>
    </row>
    <row r="20">
      <c r="A20" s="8">
        <f>IFERROR(__xludf.DUMMYFUNCTION("""COMPUTED_VALUE"""),19.0)</f>
        <v>19</v>
      </c>
      <c r="B20" s="8" t="str">
        <f>IFERROR(__xludf.DUMMYFUNCTION("""COMPUTED_VALUE"""),"cashew")</f>
        <v>cashew</v>
      </c>
      <c r="C20" s="8" t="str">
        <f>IFERROR(__xludf.DUMMYFUNCTION("""COMPUTED_VALUE"""),"graft")</f>
        <v>graft</v>
      </c>
      <c r="D20" s="55" t="str">
        <f>IFERROR(__xludf.DUMMYFUNCTION("""COMPUTED_VALUE"""),"Anacardium occidentale")</f>
        <v>Anacardium occidentale</v>
      </c>
      <c r="E20" s="8" t="str">
        <f>IFERROR(__xludf.DUMMYFUNCTION("""COMPUTED_VALUE"""),"X3264 (Yellow)")</f>
        <v>X3264 (Yellow)</v>
      </c>
      <c r="F20" s="8" t="str">
        <f>IFERROR(__xludf.DUMMYFUNCTION("""COMPUTED_VALUE"""),"Cashew")</f>
        <v>Cashew</v>
      </c>
      <c r="G20" s="8" t="str">
        <f>IFERROR(__xludf.DUMMYFUNCTION("""COMPUTED_VALUE"""),"Anacardier")</f>
        <v>Anacardier</v>
      </c>
      <c r="H20" s="8" t="str">
        <f>IFERROR(__xludf.DUMMYFUNCTION("""COMPUTED_VALUE"""),"graft")</f>
        <v>graft</v>
      </c>
      <c r="I20" s="8" t="str">
        <f>IFERROR(__xludf.DUMMYFUNCTION("""COMPUTED_VALUE"""),"C019")</f>
        <v>C019</v>
      </c>
      <c r="J20" s="8" t="str">
        <f>IFERROR(__xludf.DUMMYFUNCTION("""COMPUTED_VALUE"""),"02N07")</f>
        <v>02N07</v>
      </c>
      <c r="K20" s="8"/>
      <c r="L20" s="8">
        <f>IFERROR(__xludf.DUMMYFUNCTION("""COMPUTED_VALUE"""),1.0)</f>
        <v>1</v>
      </c>
      <c r="M20" s="8">
        <f>IFERROR(__xludf.DUMMYFUNCTION("""COMPUTED_VALUE"""),0.0)</f>
        <v>0</v>
      </c>
      <c r="N20" s="8">
        <f>IFERROR(__xludf.DUMMYFUNCTION("""COMPUTED_VALUE"""),20.0)</f>
        <v>20</v>
      </c>
      <c r="O20" s="8"/>
      <c r="P20" s="8"/>
      <c r="Q20" s="8"/>
      <c r="R20" s="8"/>
      <c r="S20" s="8"/>
      <c r="T20" s="8"/>
      <c r="U20" s="8"/>
      <c r="V20" s="8"/>
      <c r="W20" s="8"/>
      <c r="X20" s="8"/>
      <c r="Y20" s="8"/>
      <c r="Z20" s="8"/>
    </row>
    <row r="21">
      <c r="A21" s="8">
        <f>IFERROR(__xludf.DUMMYFUNCTION("""COMPUTED_VALUE"""),20.0)</f>
        <v>20</v>
      </c>
      <c r="B21" s="8" t="str">
        <f>IFERROR(__xludf.DUMMYFUNCTION("""COMPUTED_VALUE"""),"cashew")</f>
        <v>cashew</v>
      </c>
      <c r="C21" s="8" t="str">
        <f>IFERROR(__xludf.DUMMYFUNCTION("""COMPUTED_VALUE"""),"graft")</f>
        <v>graft</v>
      </c>
      <c r="D21" s="55" t="str">
        <f>IFERROR(__xludf.DUMMYFUNCTION("""COMPUTED_VALUE"""),"Anacardium occidentale")</f>
        <v>Anacardium occidentale</v>
      </c>
      <c r="E21" s="8" t="str">
        <f>IFERROR(__xludf.DUMMYFUNCTION("""COMPUTED_VALUE"""),"X3264 (Yellow)")</f>
        <v>X3264 (Yellow)</v>
      </c>
      <c r="F21" s="8" t="str">
        <f>IFERROR(__xludf.DUMMYFUNCTION("""COMPUTED_VALUE"""),"Cashew")</f>
        <v>Cashew</v>
      </c>
      <c r="G21" s="8" t="str">
        <f>IFERROR(__xludf.DUMMYFUNCTION("""COMPUTED_VALUE"""),"Anacardier")</f>
        <v>Anacardier</v>
      </c>
      <c r="H21" s="8" t="str">
        <f>IFERROR(__xludf.DUMMYFUNCTION("""COMPUTED_VALUE"""),"graft")</f>
        <v>graft</v>
      </c>
      <c r="I21" s="8" t="str">
        <f>IFERROR(__xludf.DUMMYFUNCTION("""COMPUTED_VALUE"""),"C020")</f>
        <v>C020</v>
      </c>
      <c r="J21" s="8" t="str">
        <f>IFERROR(__xludf.DUMMYFUNCTION("""COMPUTED_VALUE"""),"02N08")</f>
        <v>02N08</v>
      </c>
      <c r="K21" s="8"/>
      <c r="L21" s="8">
        <f>IFERROR(__xludf.DUMMYFUNCTION("""COMPUTED_VALUE"""),1.0)</f>
        <v>1</v>
      </c>
      <c r="M21" s="8">
        <f>IFERROR(__xludf.DUMMYFUNCTION("""COMPUTED_VALUE"""),0.0)</f>
        <v>0</v>
      </c>
      <c r="N21" s="8">
        <f>IFERROR(__xludf.DUMMYFUNCTION("""COMPUTED_VALUE"""),20.0)</f>
        <v>20</v>
      </c>
      <c r="O21" s="8"/>
      <c r="P21" s="8"/>
      <c r="Q21" s="8"/>
      <c r="R21" s="8"/>
      <c r="S21" s="8"/>
      <c r="T21" s="8"/>
      <c r="U21" s="8"/>
      <c r="V21" s="8"/>
      <c r="W21" s="8"/>
      <c r="X21" s="8"/>
      <c r="Y21" s="8"/>
      <c r="Z21" s="8"/>
    </row>
    <row r="22">
      <c r="A22" s="8">
        <f>IFERROR(__xludf.DUMMYFUNCTION("""COMPUTED_VALUE"""),21.0)</f>
        <v>21</v>
      </c>
      <c r="B22" s="8" t="str">
        <f>IFERROR(__xludf.DUMMYFUNCTION("""COMPUTED_VALUE"""),"cashew")</f>
        <v>cashew</v>
      </c>
      <c r="C22" s="8" t="str">
        <f>IFERROR(__xludf.DUMMYFUNCTION("""COMPUTED_VALUE"""),"graft")</f>
        <v>graft</v>
      </c>
      <c r="D22" s="55" t="str">
        <f>IFERROR(__xludf.DUMMYFUNCTION("""COMPUTED_VALUE"""),"Anacardium occidentale")</f>
        <v>Anacardium occidentale</v>
      </c>
      <c r="E22" s="8" t="str">
        <f>IFERROR(__xludf.DUMMYFUNCTION("""COMPUTED_VALUE"""),"X3264 (Yellow)")</f>
        <v>X3264 (Yellow)</v>
      </c>
      <c r="F22" s="8" t="str">
        <f>IFERROR(__xludf.DUMMYFUNCTION("""COMPUTED_VALUE"""),"Cashew")</f>
        <v>Cashew</v>
      </c>
      <c r="G22" s="8" t="str">
        <f>IFERROR(__xludf.DUMMYFUNCTION("""COMPUTED_VALUE"""),"Anacardier")</f>
        <v>Anacardier</v>
      </c>
      <c r="H22" s="8" t="str">
        <f>IFERROR(__xludf.DUMMYFUNCTION("""COMPUTED_VALUE"""),"graft")</f>
        <v>graft</v>
      </c>
      <c r="I22" s="8" t="str">
        <f>IFERROR(__xludf.DUMMYFUNCTION("""COMPUTED_VALUE"""),"C021")</f>
        <v>C021</v>
      </c>
      <c r="J22" s="8" t="str">
        <f>IFERROR(__xludf.DUMMYFUNCTION("""COMPUTED_VALUE"""),"02N09")</f>
        <v>02N09</v>
      </c>
      <c r="K22" s="8"/>
      <c r="L22" s="8">
        <f>IFERROR(__xludf.DUMMYFUNCTION("""COMPUTED_VALUE"""),1.0)</f>
        <v>1</v>
      </c>
      <c r="M22" s="8">
        <f>IFERROR(__xludf.DUMMYFUNCTION("""COMPUTED_VALUE"""),0.0)</f>
        <v>0</v>
      </c>
      <c r="N22" s="8">
        <f>IFERROR(__xludf.DUMMYFUNCTION("""COMPUTED_VALUE"""),20.0)</f>
        <v>20</v>
      </c>
      <c r="O22" s="8"/>
      <c r="P22" s="8"/>
      <c r="Q22" s="8"/>
      <c r="R22" s="8"/>
      <c r="S22" s="8"/>
      <c r="T22" s="8"/>
      <c r="U22" s="8"/>
      <c r="V22" s="8"/>
      <c r="W22" s="8"/>
      <c r="X22" s="8"/>
      <c r="Y22" s="8"/>
      <c r="Z22" s="8"/>
    </row>
    <row r="23">
      <c r="A23" s="8">
        <f>IFERROR(__xludf.DUMMYFUNCTION("""COMPUTED_VALUE"""),22.0)</f>
        <v>22</v>
      </c>
      <c r="B23" s="8" t="str">
        <f>IFERROR(__xludf.DUMMYFUNCTION("""COMPUTED_VALUE"""),"cashew")</f>
        <v>cashew</v>
      </c>
      <c r="C23" s="8" t="str">
        <f>IFERROR(__xludf.DUMMYFUNCTION("""COMPUTED_VALUE"""),"graft")</f>
        <v>graft</v>
      </c>
      <c r="D23" s="55" t="str">
        <f>IFERROR(__xludf.DUMMYFUNCTION("""COMPUTED_VALUE"""),"Anacardium occidentale")</f>
        <v>Anacardium occidentale</v>
      </c>
      <c r="E23" s="8" t="str">
        <f>IFERROR(__xludf.DUMMYFUNCTION("""COMPUTED_VALUE"""),"X3264 (Yellow)")</f>
        <v>X3264 (Yellow)</v>
      </c>
      <c r="F23" s="8" t="str">
        <f>IFERROR(__xludf.DUMMYFUNCTION("""COMPUTED_VALUE"""),"Cashew")</f>
        <v>Cashew</v>
      </c>
      <c r="G23" s="8" t="str">
        <f>IFERROR(__xludf.DUMMYFUNCTION("""COMPUTED_VALUE"""),"Anacardier")</f>
        <v>Anacardier</v>
      </c>
      <c r="H23" s="8" t="str">
        <f>IFERROR(__xludf.DUMMYFUNCTION("""COMPUTED_VALUE"""),"graft")</f>
        <v>graft</v>
      </c>
      <c r="I23" s="8" t="str">
        <f>IFERROR(__xludf.DUMMYFUNCTION("""COMPUTED_VALUE"""),"C022")</f>
        <v>C022</v>
      </c>
      <c r="J23" s="8" t="str">
        <f>IFERROR(__xludf.DUMMYFUNCTION("""COMPUTED_VALUE"""),"02N10")</f>
        <v>02N10</v>
      </c>
      <c r="K23" s="8"/>
      <c r="L23" s="8">
        <f>IFERROR(__xludf.DUMMYFUNCTION("""COMPUTED_VALUE"""),1.0)</f>
        <v>1</v>
      </c>
      <c r="M23" s="8">
        <f>IFERROR(__xludf.DUMMYFUNCTION("""COMPUTED_VALUE"""),0.0)</f>
        <v>0</v>
      </c>
      <c r="N23" s="8">
        <f>IFERROR(__xludf.DUMMYFUNCTION("""COMPUTED_VALUE"""),20.0)</f>
        <v>20</v>
      </c>
      <c r="O23" s="8"/>
      <c r="P23" s="8"/>
      <c r="Q23" s="8"/>
      <c r="R23" s="8"/>
      <c r="S23" s="8"/>
      <c r="T23" s="8"/>
      <c r="U23" s="8"/>
      <c r="V23" s="8"/>
      <c r="W23" s="8"/>
      <c r="X23" s="8"/>
      <c r="Y23" s="8"/>
      <c r="Z23" s="8"/>
    </row>
    <row r="24">
      <c r="A24" s="8">
        <f>IFERROR(__xludf.DUMMYFUNCTION("""COMPUTED_VALUE"""),23.0)</f>
        <v>23</v>
      </c>
      <c r="B24" s="8" t="str">
        <f>IFERROR(__xludf.DUMMYFUNCTION("""COMPUTED_VALUE"""),"cashew")</f>
        <v>cashew</v>
      </c>
      <c r="C24" s="8" t="str">
        <f>IFERROR(__xludf.DUMMYFUNCTION("""COMPUTED_VALUE"""),"graft")</f>
        <v>graft</v>
      </c>
      <c r="D24" s="55" t="str">
        <f>IFERROR(__xludf.DUMMYFUNCTION("""COMPUTED_VALUE"""),"Anacardium occidentale")</f>
        <v>Anacardium occidentale</v>
      </c>
      <c r="E24" s="8" t="str">
        <f>IFERROR(__xludf.DUMMYFUNCTION("""COMPUTED_VALUE"""),"X3264 (Yellow)")</f>
        <v>X3264 (Yellow)</v>
      </c>
      <c r="F24" s="8" t="str">
        <f>IFERROR(__xludf.DUMMYFUNCTION("""COMPUTED_VALUE"""),"Cashew")</f>
        <v>Cashew</v>
      </c>
      <c r="G24" s="8" t="str">
        <f>IFERROR(__xludf.DUMMYFUNCTION("""COMPUTED_VALUE"""),"Anacardier")</f>
        <v>Anacardier</v>
      </c>
      <c r="H24" s="8" t="str">
        <f>IFERROR(__xludf.DUMMYFUNCTION("""COMPUTED_VALUE"""),"graft")</f>
        <v>graft</v>
      </c>
      <c r="I24" s="8" t="str">
        <f>IFERROR(__xludf.DUMMYFUNCTION("""COMPUTED_VALUE"""),"C023")</f>
        <v>C023</v>
      </c>
      <c r="J24" s="8" t="str">
        <f>IFERROR(__xludf.DUMMYFUNCTION("""COMPUTED_VALUE"""),"02N11")</f>
        <v>02N11</v>
      </c>
      <c r="K24" s="8"/>
      <c r="L24" s="8">
        <f>IFERROR(__xludf.DUMMYFUNCTION("""COMPUTED_VALUE"""),1.0)</f>
        <v>1</v>
      </c>
      <c r="M24" s="8">
        <f>IFERROR(__xludf.DUMMYFUNCTION("""COMPUTED_VALUE"""),0.0)</f>
        <v>0</v>
      </c>
      <c r="N24" s="8">
        <f>IFERROR(__xludf.DUMMYFUNCTION("""COMPUTED_VALUE"""),20.0)</f>
        <v>20</v>
      </c>
      <c r="O24" s="8"/>
      <c r="P24" s="8"/>
      <c r="Q24" s="8"/>
      <c r="R24" s="8"/>
      <c r="S24" s="8"/>
      <c r="T24" s="8"/>
      <c r="U24" s="8"/>
      <c r="V24" s="8"/>
      <c r="W24" s="8"/>
      <c r="X24" s="8"/>
      <c r="Y24" s="8"/>
      <c r="Z24" s="8"/>
    </row>
    <row r="25">
      <c r="A25" s="8">
        <f>IFERROR(__xludf.DUMMYFUNCTION("""COMPUTED_VALUE"""),24.0)</f>
        <v>24</v>
      </c>
      <c r="B25" s="8" t="str">
        <f>IFERROR(__xludf.DUMMYFUNCTION("""COMPUTED_VALUE"""),"cashew")</f>
        <v>cashew</v>
      </c>
      <c r="C25" s="8" t="str">
        <f>IFERROR(__xludf.DUMMYFUNCTION("""COMPUTED_VALUE"""),"graft")</f>
        <v>graft</v>
      </c>
      <c r="D25" s="55" t="str">
        <f>IFERROR(__xludf.DUMMYFUNCTION("""COMPUTED_VALUE"""),"Anacardium occidentale")</f>
        <v>Anacardium occidentale</v>
      </c>
      <c r="E25" s="8" t="str">
        <f>IFERROR(__xludf.DUMMYFUNCTION("""COMPUTED_VALUE"""),"X3264 (Yellow)")</f>
        <v>X3264 (Yellow)</v>
      </c>
      <c r="F25" s="8" t="str">
        <f>IFERROR(__xludf.DUMMYFUNCTION("""COMPUTED_VALUE"""),"Cashew")</f>
        <v>Cashew</v>
      </c>
      <c r="G25" s="8" t="str">
        <f>IFERROR(__xludf.DUMMYFUNCTION("""COMPUTED_VALUE"""),"Anacardier")</f>
        <v>Anacardier</v>
      </c>
      <c r="H25" s="8" t="str">
        <f>IFERROR(__xludf.DUMMYFUNCTION("""COMPUTED_VALUE"""),"graft")</f>
        <v>graft</v>
      </c>
      <c r="I25" s="8" t="str">
        <f>IFERROR(__xludf.DUMMYFUNCTION("""COMPUTED_VALUE"""),"C024")</f>
        <v>C024</v>
      </c>
      <c r="J25" s="8" t="str">
        <f>IFERROR(__xludf.DUMMYFUNCTION("""COMPUTED_VALUE"""),"02N12")</f>
        <v>02N12</v>
      </c>
      <c r="K25" s="8"/>
      <c r="L25" s="8">
        <f>IFERROR(__xludf.DUMMYFUNCTION("""COMPUTED_VALUE"""),1.0)</f>
        <v>1</v>
      </c>
      <c r="M25" s="8">
        <f>IFERROR(__xludf.DUMMYFUNCTION("""COMPUTED_VALUE"""),0.0)</f>
        <v>0</v>
      </c>
      <c r="N25" s="8">
        <f>IFERROR(__xludf.DUMMYFUNCTION("""COMPUTED_VALUE"""),20.0)</f>
        <v>20</v>
      </c>
      <c r="O25" s="8"/>
      <c r="P25" s="8"/>
      <c r="Q25" s="8"/>
      <c r="R25" s="8"/>
      <c r="S25" s="8"/>
      <c r="T25" s="8"/>
      <c r="U25" s="8"/>
      <c r="V25" s="8"/>
      <c r="W25" s="8"/>
      <c r="X25" s="8"/>
      <c r="Y25" s="8"/>
      <c r="Z25" s="8"/>
    </row>
    <row r="26">
      <c r="A26" s="8">
        <f>IFERROR(__xludf.DUMMYFUNCTION("""COMPUTED_VALUE"""),26.0)</f>
        <v>26</v>
      </c>
      <c r="B26" s="8" t="str">
        <f>IFERROR(__xludf.DUMMYFUNCTION("""COMPUTED_VALUE"""),"cashew")</f>
        <v>cashew</v>
      </c>
      <c r="C26" s="8" t="str">
        <f>IFERROR(__xludf.DUMMYFUNCTION("""COMPUTED_VALUE"""),"graft")</f>
        <v>graft</v>
      </c>
      <c r="D26" s="55" t="str">
        <f>IFERROR(__xludf.DUMMYFUNCTION("""COMPUTED_VALUE"""),"Anacardium occidentale")</f>
        <v>Anacardium occidentale</v>
      </c>
      <c r="E26" s="8" t="str">
        <f>IFERROR(__xludf.DUMMYFUNCTION("""COMPUTED_VALUE"""),"X4297 (Red)")</f>
        <v>X4297 (Red)</v>
      </c>
      <c r="F26" s="8" t="str">
        <f>IFERROR(__xludf.DUMMYFUNCTION("""COMPUTED_VALUE"""),"Cashew")</f>
        <v>Cashew</v>
      </c>
      <c r="G26" s="8" t="str">
        <f>IFERROR(__xludf.DUMMYFUNCTION("""COMPUTED_VALUE"""),"Anacardier")</f>
        <v>Anacardier</v>
      </c>
      <c r="H26" s="8" t="str">
        <f>IFERROR(__xludf.DUMMYFUNCTION("""COMPUTED_VALUE"""),"graft")</f>
        <v>graft</v>
      </c>
      <c r="I26" s="8" t="str">
        <f>IFERROR(__xludf.DUMMYFUNCTION("""COMPUTED_VALUE"""),"C026")</f>
        <v>C026</v>
      </c>
      <c r="J26" s="8" t="str">
        <f>IFERROR(__xludf.DUMMYFUNCTION("""COMPUTED_VALUE"""),"03N01")</f>
        <v>03N01</v>
      </c>
      <c r="K26" s="8"/>
      <c r="L26" s="8">
        <f>IFERROR(__xludf.DUMMYFUNCTION("""COMPUTED_VALUE"""),1.0)</f>
        <v>1</v>
      </c>
      <c r="M26" s="8">
        <f>IFERROR(__xludf.DUMMYFUNCTION("""COMPUTED_VALUE"""),0.0)</f>
        <v>0</v>
      </c>
      <c r="N26" s="8">
        <f>IFERROR(__xludf.DUMMYFUNCTION("""COMPUTED_VALUE"""),22.0)</f>
        <v>22</v>
      </c>
      <c r="O26" s="8"/>
      <c r="P26" s="8"/>
      <c r="Q26" s="8"/>
      <c r="R26" s="8"/>
      <c r="S26" s="8"/>
      <c r="T26" s="8"/>
      <c r="U26" s="8"/>
      <c r="V26" s="8"/>
      <c r="W26" s="8"/>
      <c r="X26" s="8"/>
      <c r="Y26" s="8"/>
      <c r="Z26" s="8"/>
    </row>
    <row r="27">
      <c r="A27" s="8">
        <f>IFERROR(__xludf.DUMMYFUNCTION("""COMPUTED_VALUE"""),27.0)</f>
        <v>27</v>
      </c>
      <c r="B27" s="8" t="str">
        <f>IFERROR(__xludf.DUMMYFUNCTION("""COMPUTED_VALUE"""),"cashew")</f>
        <v>cashew</v>
      </c>
      <c r="C27" s="8" t="str">
        <f>IFERROR(__xludf.DUMMYFUNCTION("""COMPUTED_VALUE"""),"graft")</f>
        <v>graft</v>
      </c>
      <c r="D27" s="55" t="str">
        <f>IFERROR(__xludf.DUMMYFUNCTION("""COMPUTED_VALUE"""),"Anacardium occidentale")</f>
        <v>Anacardium occidentale</v>
      </c>
      <c r="E27" s="8" t="str">
        <f>IFERROR(__xludf.DUMMYFUNCTION("""COMPUTED_VALUE"""),"X4297 (Red)")</f>
        <v>X4297 (Red)</v>
      </c>
      <c r="F27" s="8" t="str">
        <f>IFERROR(__xludf.DUMMYFUNCTION("""COMPUTED_VALUE"""),"Cashew")</f>
        <v>Cashew</v>
      </c>
      <c r="G27" s="8" t="str">
        <f>IFERROR(__xludf.DUMMYFUNCTION("""COMPUTED_VALUE"""),"Anacardier")</f>
        <v>Anacardier</v>
      </c>
      <c r="H27" s="8" t="str">
        <f>IFERROR(__xludf.DUMMYFUNCTION("""COMPUTED_VALUE"""),"graft")</f>
        <v>graft</v>
      </c>
      <c r="I27" s="8" t="str">
        <f>IFERROR(__xludf.DUMMYFUNCTION("""COMPUTED_VALUE"""),"C027")</f>
        <v>C027</v>
      </c>
      <c r="J27" s="8" t="str">
        <f>IFERROR(__xludf.DUMMYFUNCTION("""COMPUTED_VALUE"""),"03N02")</f>
        <v>03N02</v>
      </c>
      <c r="K27" s="8"/>
      <c r="L27" s="8">
        <f>IFERROR(__xludf.DUMMYFUNCTION("""COMPUTED_VALUE"""),1.0)</f>
        <v>1</v>
      </c>
      <c r="M27" s="8">
        <f>IFERROR(__xludf.DUMMYFUNCTION("""COMPUTED_VALUE"""),0.0)</f>
        <v>0</v>
      </c>
      <c r="N27" s="8">
        <f>IFERROR(__xludf.DUMMYFUNCTION("""COMPUTED_VALUE"""),22.0)</f>
        <v>22</v>
      </c>
      <c r="O27" s="8"/>
      <c r="P27" s="8"/>
      <c r="Q27" s="8"/>
      <c r="R27" s="8"/>
      <c r="S27" s="8"/>
      <c r="T27" s="8"/>
      <c r="U27" s="8"/>
      <c r="V27" s="8"/>
      <c r="W27" s="8"/>
      <c r="X27" s="8"/>
      <c r="Y27" s="8"/>
      <c r="Z27" s="8"/>
    </row>
    <row r="28">
      <c r="A28" s="8">
        <f>IFERROR(__xludf.DUMMYFUNCTION("""COMPUTED_VALUE"""),28.0)</f>
        <v>28</v>
      </c>
      <c r="B28" s="8" t="str">
        <f>IFERROR(__xludf.DUMMYFUNCTION("""COMPUTED_VALUE"""),"cashew")</f>
        <v>cashew</v>
      </c>
      <c r="C28" s="8" t="str">
        <f>IFERROR(__xludf.DUMMYFUNCTION("""COMPUTED_VALUE"""),"graft")</f>
        <v>graft</v>
      </c>
      <c r="D28" s="55" t="str">
        <f>IFERROR(__xludf.DUMMYFUNCTION("""COMPUTED_VALUE"""),"Anacardium occidentale")</f>
        <v>Anacardium occidentale</v>
      </c>
      <c r="E28" s="8" t="str">
        <f>IFERROR(__xludf.DUMMYFUNCTION("""COMPUTED_VALUE"""),"X4297 (Red)")</f>
        <v>X4297 (Red)</v>
      </c>
      <c r="F28" s="8" t="str">
        <f>IFERROR(__xludf.DUMMYFUNCTION("""COMPUTED_VALUE"""),"Cashew")</f>
        <v>Cashew</v>
      </c>
      <c r="G28" s="8" t="str">
        <f>IFERROR(__xludf.DUMMYFUNCTION("""COMPUTED_VALUE"""),"Anacardier")</f>
        <v>Anacardier</v>
      </c>
      <c r="H28" s="8" t="str">
        <f>IFERROR(__xludf.DUMMYFUNCTION("""COMPUTED_VALUE"""),"graft")</f>
        <v>graft</v>
      </c>
      <c r="I28" s="8" t="str">
        <f>IFERROR(__xludf.DUMMYFUNCTION("""COMPUTED_VALUE"""),"C028")</f>
        <v>C028</v>
      </c>
      <c r="J28" s="8" t="str">
        <f>IFERROR(__xludf.DUMMYFUNCTION("""COMPUTED_VALUE"""),"03N03")</f>
        <v>03N03</v>
      </c>
      <c r="K28" s="8"/>
      <c r="L28" s="8">
        <f>IFERROR(__xludf.DUMMYFUNCTION("""COMPUTED_VALUE"""),1.0)</f>
        <v>1</v>
      </c>
      <c r="M28" s="8">
        <f>IFERROR(__xludf.DUMMYFUNCTION("""COMPUTED_VALUE"""),0.0)</f>
        <v>0</v>
      </c>
      <c r="N28" s="8">
        <f>IFERROR(__xludf.DUMMYFUNCTION("""COMPUTED_VALUE"""),22.0)</f>
        <v>22</v>
      </c>
      <c r="O28" s="8"/>
      <c r="P28" s="8"/>
      <c r="Q28" s="8"/>
      <c r="R28" s="8"/>
      <c r="S28" s="8"/>
      <c r="T28" s="8"/>
      <c r="U28" s="8"/>
      <c r="V28" s="8"/>
      <c r="W28" s="8"/>
      <c r="X28" s="8"/>
      <c r="Y28" s="8"/>
      <c r="Z28" s="8"/>
    </row>
    <row r="29">
      <c r="A29" s="8">
        <f>IFERROR(__xludf.DUMMYFUNCTION("""COMPUTED_VALUE"""),29.0)</f>
        <v>29</v>
      </c>
      <c r="B29" s="8" t="str">
        <f>IFERROR(__xludf.DUMMYFUNCTION("""COMPUTED_VALUE"""),"cashew")</f>
        <v>cashew</v>
      </c>
      <c r="C29" s="8" t="str">
        <f>IFERROR(__xludf.DUMMYFUNCTION("""COMPUTED_VALUE"""),"graft")</f>
        <v>graft</v>
      </c>
      <c r="D29" s="55" t="str">
        <f>IFERROR(__xludf.DUMMYFUNCTION("""COMPUTED_VALUE"""),"Anacardium occidentale")</f>
        <v>Anacardium occidentale</v>
      </c>
      <c r="E29" s="8" t="str">
        <f>IFERROR(__xludf.DUMMYFUNCTION("""COMPUTED_VALUE"""),"X4297 (Red)")</f>
        <v>X4297 (Red)</v>
      </c>
      <c r="F29" s="8" t="str">
        <f>IFERROR(__xludf.DUMMYFUNCTION("""COMPUTED_VALUE"""),"Cashew")</f>
        <v>Cashew</v>
      </c>
      <c r="G29" s="8" t="str">
        <f>IFERROR(__xludf.DUMMYFUNCTION("""COMPUTED_VALUE"""),"Anacardier")</f>
        <v>Anacardier</v>
      </c>
      <c r="H29" s="8" t="str">
        <f>IFERROR(__xludf.DUMMYFUNCTION("""COMPUTED_VALUE"""),"graft")</f>
        <v>graft</v>
      </c>
      <c r="I29" s="8" t="str">
        <f>IFERROR(__xludf.DUMMYFUNCTION("""COMPUTED_VALUE"""),"C029")</f>
        <v>C029</v>
      </c>
      <c r="J29" s="8" t="str">
        <f>IFERROR(__xludf.DUMMYFUNCTION("""COMPUTED_VALUE"""),"03N04")</f>
        <v>03N04</v>
      </c>
      <c r="K29" s="8"/>
      <c r="L29" s="8">
        <f>IFERROR(__xludf.DUMMYFUNCTION("""COMPUTED_VALUE"""),1.0)</f>
        <v>1</v>
      </c>
      <c r="M29" s="8">
        <f>IFERROR(__xludf.DUMMYFUNCTION("""COMPUTED_VALUE"""),0.0)</f>
        <v>0</v>
      </c>
      <c r="N29" s="8">
        <f>IFERROR(__xludf.DUMMYFUNCTION("""COMPUTED_VALUE"""),22.0)</f>
        <v>22</v>
      </c>
      <c r="O29" s="8"/>
      <c r="P29" s="8"/>
      <c r="Q29" s="8"/>
      <c r="R29" s="8"/>
      <c r="S29" s="8"/>
      <c r="T29" s="8"/>
      <c r="U29" s="8"/>
      <c r="V29" s="8"/>
      <c r="W29" s="8"/>
      <c r="X29" s="8"/>
      <c r="Y29" s="8"/>
      <c r="Z29" s="8"/>
    </row>
    <row r="30">
      <c r="A30" s="8">
        <f>IFERROR(__xludf.DUMMYFUNCTION("""COMPUTED_VALUE"""),30.0)</f>
        <v>30</v>
      </c>
      <c r="B30" s="8" t="str">
        <f>IFERROR(__xludf.DUMMYFUNCTION("""COMPUTED_VALUE"""),"cashew")</f>
        <v>cashew</v>
      </c>
      <c r="C30" s="8" t="str">
        <f>IFERROR(__xludf.DUMMYFUNCTION("""COMPUTED_VALUE"""),"graft")</f>
        <v>graft</v>
      </c>
      <c r="D30" s="55" t="str">
        <f>IFERROR(__xludf.DUMMYFUNCTION("""COMPUTED_VALUE"""),"Anacardium occidentale")</f>
        <v>Anacardium occidentale</v>
      </c>
      <c r="E30" s="8" t="str">
        <f>IFERROR(__xludf.DUMMYFUNCTION("""COMPUTED_VALUE"""),"X4297 (Red)")</f>
        <v>X4297 (Red)</v>
      </c>
      <c r="F30" s="8" t="str">
        <f>IFERROR(__xludf.DUMMYFUNCTION("""COMPUTED_VALUE"""),"Cashew")</f>
        <v>Cashew</v>
      </c>
      <c r="G30" s="8" t="str">
        <f>IFERROR(__xludf.DUMMYFUNCTION("""COMPUTED_VALUE"""),"Anacardier")</f>
        <v>Anacardier</v>
      </c>
      <c r="H30" s="8" t="str">
        <f>IFERROR(__xludf.DUMMYFUNCTION("""COMPUTED_VALUE"""),"graft")</f>
        <v>graft</v>
      </c>
      <c r="I30" s="8" t="str">
        <f>IFERROR(__xludf.DUMMYFUNCTION("""COMPUTED_VALUE"""),"C030")</f>
        <v>C030</v>
      </c>
      <c r="J30" s="8" t="str">
        <f>IFERROR(__xludf.DUMMYFUNCTION("""COMPUTED_VALUE"""),"03N05")</f>
        <v>03N05</v>
      </c>
      <c r="K30" s="8"/>
      <c r="L30" s="8">
        <f>IFERROR(__xludf.DUMMYFUNCTION("""COMPUTED_VALUE"""),1.0)</f>
        <v>1</v>
      </c>
      <c r="M30" s="8">
        <f>IFERROR(__xludf.DUMMYFUNCTION("""COMPUTED_VALUE"""),0.0)</f>
        <v>0</v>
      </c>
      <c r="N30" s="8">
        <f>IFERROR(__xludf.DUMMYFUNCTION("""COMPUTED_VALUE"""),22.0)</f>
        <v>22</v>
      </c>
      <c r="O30" s="8"/>
      <c r="P30" s="8"/>
      <c r="Q30" s="8"/>
      <c r="R30" s="8"/>
      <c r="S30" s="8"/>
      <c r="T30" s="8"/>
      <c r="U30" s="8"/>
      <c r="V30" s="8"/>
      <c r="W30" s="8"/>
      <c r="X30" s="8"/>
      <c r="Y30" s="8"/>
      <c r="Z30" s="8"/>
    </row>
    <row r="31">
      <c r="A31" s="8">
        <f>IFERROR(__xludf.DUMMYFUNCTION("""COMPUTED_VALUE"""),31.0)</f>
        <v>31</v>
      </c>
      <c r="B31" s="8" t="str">
        <f>IFERROR(__xludf.DUMMYFUNCTION("""COMPUTED_VALUE"""),"cashew")</f>
        <v>cashew</v>
      </c>
      <c r="C31" s="8" t="str">
        <f>IFERROR(__xludf.DUMMYFUNCTION("""COMPUTED_VALUE"""),"graft")</f>
        <v>graft</v>
      </c>
      <c r="D31" s="55" t="str">
        <f>IFERROR(__xludf.DUMMYFUNCTION("""COMPUTED_VALUE"""),"Anacardium occidentale")</f>
        <v>Anacardium occidentale</v>
      </c>
      <c r="E31" s="8" t="str">
        <f>IFERROR(__xludf.DUMMYFUNCTION("""COMPUTED_VALUE"""),"Unknown")</f>
        <v>Unknown</v>
      </c>
      <c r="F31" s="8" t="str">
        <f>IFERROR(__xludf.DUMMYFUNCTION("""COMPUTED_VALUE"""),"Cashew")</f>
        <v>Cashew</v>
      </c>
      <c r="G31" s="8" t="str">
        <f>IFERROR(__xludf.DUMMYFUNCTION("""COMPUTED_VALUE"""),"Anacardier")</f>
        <v>Anacardier</v>
      </c>
      <c r="H31" s="8" t="str">
        <f>IFERROR(__xludf.DUMMYFUNCTION("""COMPUTED_VALUE"""),"graft")</f>
        <v>graft</v>
      </c>
      <c r="I31" s="8" t="str">
        <f>IFERROR(__xludf.DUMMYFUNCTION("""COMPUTED_VALUE"""),"C031")</f>
        <v>C031</v>
      </c>
      <c r="J31" s="8" t="str">
        <f>IFERROR(__xludf.DUMMYFUNCTION("""COMPUTED_VALUE"""),"03N07")</f>
        <v>03N07</v>
      </c>
      <c r="K31" s="8"/>
      <c r="L31" s="8">
        <f>IFERROR(__xludf.DUMMYFUNCTION("""COMPUTED_VALUE"""),1.0)</f>
        <v>1</v>
      </c>
      <c r="M31" s="8">
        <f>IFERROR(__xludf.DUMMYFUNCTION("""COMPUTED_VALUE"""),0.0)</f>
        <v>0</v>
      </c>
      <c r="N31" s="8">
        <f>IFERROR(__xludf.DUMMYFUNCTION("""COMPUTED_VALUE"""),12.0)</f>
        <v>12</v>
      </c>
      <c r="O31" s="8"/>
      <c r="P31" s="8"/>
      <c r="Q31" s="8"/>
      <c r="R31" s="8"/>
      <c r="S31" s="8"/>
      <c r="T31" s="8"/>
      <c r="U31" s="8"/>
      <c r="V31" s="8"/>
      <c r="W31" s="8"/>
      <c r="X31" s="8"/>
      <c r="Y31" s="8"/>
      <c r="Z31" s="8"/>
    </row>
    <row r="32">
      <c r="A32" s="8">
        <f>IFERROR(__xludf.DUMMYFUNCTION("""COMPUTED_VALUE"""),32.0)</f>
        <v>32</v>
      </c>
      <c r="B32" s="8" t="str">
        <f>IFERROR(__xludf.DUMMYFUNCTION("""COMPUTED_VALUE"""),"cashew")</f>
        <v>cashew</v>
      </c>
      <c r="C32" s="8" t="str">
        <f>IFERROR(__xludf.DUMMYFUNCTION("""COMPUTED_VALUE"""),"graft")</f>
        <v>graft</v>
      </c>
      <c r="D32" s="55" t="str">
        <f>IFERROR(__xludf.DUMMYFUNCTION("""COMPUTED_VALUE"""),"Anacardium occidentale")</f>
        <v>Anacardium occidentale</v>
      </c>
      <c r="E32" s="8" t="str">
        <f>IFERROR(__xludf.DUMMYFUNCTION("""COMPUTED_VALUE"""),"X3264 (Yellow)")</f>
        <v>X3264 (Yellow)</v>
      </c>
      <c r="F32" s="8" t="str">
        <f>IFERROR(__xludf.DUMMYFUNCTION("""COMPUTED_VALUE"""),"Cashew")</f>
        <v>Cashew</v>
      </c>
      <c r="G32" s="8" t="str">
        <f>IFERROR(__xludf.DUMMYFUNCTION("""COMPUTED_VALUE"""),"Anacardier")</f>
        <v>Anacardier</v>
      </c>
      <c r="H32" s="8" t="str">
        <f>IFERROR(__xludf.DUMMYFUNCTION("""COMPUTED_VALUE"""),"graft")</f>
        <v>graft</v>
      </c>
      <c r="I32" s="8" t="str">
        <f>IFERROR(__xludf.DUMMYFUNCTION("""COMPUTED_VALUE"""),"C032")</f>
        <v>C032</v>
      </c>
      <c r="J32" s="8" t="str">
        <f>IFERROR(__xludf.DUMMYFUNCTION("""COMPUTED_VALUE"""),"03N08")</f>
        <v>03N08</v>
      </c>
      <c r="K32" s="8"/>
      <c r="L32" s="8">
        <f>IFERROR(__xludf.DUMMYFUNCTION("""COMPUTED_VALUE"""),1.0)</f>
        <v>1</v>
      </c>
      <c r="M32" s="8">
        <f>IFERROR(__xludf.DUMMYFUNCTION("""COMPUTED_VALUE"""),0.0)</f>
        <v>0</v>
      </c>
      <c r="N32" s="8">
        <f>IFERROR(__xludf.DUMMYFUNCTION("""COMPUTED_VALUE"""),20.0)</f>
        <v>20</v>
      </c>
      <c r="O32" s="8"/>
      <c r="P32" s="8"/>
      <c r="Q32" s="8"/>
      <c r="R32" s="8"/>
      <c r="S32" s="8"/>
      <c r="T32" s="8"/>
      <c r="U32" s="8"/>
      <c r="V32" s="8"/>
      <c r="W32" s="8"/>
      <c r="X32" s="8"/>
      <c r="Y32" s="8"/>
      <c r="Z32" s="8"/>
    </row>
    <row r="33">
      <c r="A33" s="8">
        <f>IFERROR(__xludf.DUMMYFUNCTION("""COMPUTED_VALUE"""),33.0)</f>
        <v>33</v>
      </c>
      <c r="B33" s="8" t="str">
        <f>IFERROR(__xludf.DUMMYFUNCTION("""COMPUTED_VALUE"""),"cashew")</f>
        <v>cashew</v>
      </c>
      <c r="C33" s="8" t="str">
        <f>IFERROR(__xludf.DUMMYFUNCTION("""COMPUTED_VALUE"""),"graft")</f>
        <v>graft</v>
      </c>
      <c r="D33" s="55" t="str">
        <f>IFERROR(__xludf.DUMMYFUNCTION("""COMPUTED_VALUE"""),"Anacardium occidentale")</f>
        <v>Anacardium occidentale</v>
      </c>
      <c r="E33" s="8" t="str">
        <f>IFERROR(__xludf.DUMMYFUNCTION("""COMPUTED_VALUE"""),"X3264 (Yellow)")</f>
        <v>X3264 (Yellow)</v>
      </c>
      <c r="F33" s="8" t="str">
        <f>IFERROR(__xludf.DUMMYFUNCTION("""COMPUTED_VALUE"""),"Cashew")</f>
        <v>Cashew</v>
      </c>
      <c r="G33" s="8" t="str">
        <f>IFERROR(__xludf.DUMMYFUNCTION("""COMPUTED_VALUE"""),"Anacardier")</f>
        <v>Anacardier</v>
      </c>
      <c r="H33" s="8" t="str">
        <f>IFERROR(__xludf.DUMMYFUNCTION("""COMPUTED_VALUE"""),"graft")</f>
        <v>graft</v>
      </c>
      <c r="I33" s="8" t="str">
        <f>IFERROR(__xludf.DUMMYFUNCTION("""COMPUTED_VALUE"""),"C033")</f>
        <v>C033</v>
      </c>
      <c r="J33" s="8" t="str">
        <f>IFERROR(__xludf.DUMMYFUNCTION("""COMPUTED_VALUE"""),"03N09")</f>
        <v>03N09</v>
      </c>
      <c r="K33" s="8"/>
      <c r="L33" s="8">
        <f>IFERROR(__xludf.DUMMYFUNCTION("""COMPUTED_VALUE"""),1.0)</f>
        <v>1</v>
      </c>
      <c r="M33" s="8">
        <f>IFERROR(__xludf.DUMMYFUNCTION("""COMPUTED_VALUE"""),0.0)</f>
        <v>0</v>
      </c>
      <c r="N33" s="8">
        <f>IFERROR(__xludf.DUMMYFUNCTION("""COMPUTED_VALUE"""),20.0)</f>
        <v>20</v>
      </c>
      <c r="O33" s="8"/>
      <c r="P33" s="8"/>
      <c r="Q33" s="8"/>
      <c r="R33" s="8"/>
      <c r="S33" s="8"/>
      <c r="T33" s="8"/>
      <c r="U33" s="8"/>
      <c r="V33" s="8"/>
      <c r="W33" s="8"/>
      <c r="X33" s="8"/>
      <c r="Y33" s="8"/>
      <c r="Z33" s="8"/>
    </row>
    <row r="34">
      <c r="A34" s="8">
        <f>IFERROR(__xludf.DUMMYFUNCTION("""COMPUTED_VALUE"""),34.0)</f>
        <v>34</v>
      </c>
      <c r="B34" s="8" t="str">
        <f>IFERROR(__xludf.DUMMYFUNCTION("""COMPUTED_VALUE"""),"cashew")</f>
        <v>cashew</v>
      </c>
      <c r="C34" s="8" t="str">
        <f>IFERROR(__xludf.DUMMYFUNCTION("""COMPUTED_VALUE"""),"graft")</f>
        <v>graft</v>
      </c>
      <c r="D34" s="55" t="str">
        <f>IFERROR(__xludf.DUMMYFUNCTION("""COMPUTED_VALUE"""),"Anacardium occidentale")</f>
        <v>Anacardium occidentale</v>
      </c>
      <c r="E34" s="8" t="str">
        <f>IFERROR(__xludf.DUMMYFUNCTION("""COMPUTED_VALUE"""),"X3264 (Yellow)")</f>
        <v>X3264 (Yellow)</v>
      </c>
      <c r="F34" s="8" t="str">
        <f>IFERROR(__xludf.DUMMYFUNCTION("""COMPUTED_VALUE"""),"Cashew")</f>
        <v>Cashew</v>
      </c>
      <c r="G34" s="8" t="str">
        <f>IFERROR(__xludf.DUMMYFUNCTION("""COMPUTED_VALUE"""),"Anacardier")</f>
        <v>Anacardier</v>
      </c>
      <c r="H34" s="8" t="str">
        <f>IFERROR(__xludf.DUMMYFUNCTION("""COMPUTED_VALUE"""),"graft")</f>
        <v>graft</v>
      </c>
      <c r="I34" s="8" t="str">
        <f>IFERROR(__xludf.DUMMYFUNCTION("""COMPUTED_VALUE"""),"C034")</f>
        <v>C034</v>
      </c>
      <c r="J34" s="8" t="str">
        <f>IFERROR(__xludf.DUMMYFUNCTION("""COMPUTED_VALUE"""),"03N10")</f>
        <v>03N10</v>
      </c>
      <c r="K34" s="8"/>
      <c r="L34" s="8">
        <f>IFERROR(__xludf.DUMMYFUNCTION("""COMPUTED_VALUE"""),1.0)</f>
        <v>1</v>
      </c>
      <c r="M34" s="8">
        <f>IFERROR(__xludf.DUMMYFUNCTION("""COMPUTED_VALUE"""),0.0)</f>
        <v>0</v>
      </c>
      <c r="N34" s="8">
        <f>IFERROR(__xludf.DUMMYFUNCTION("""COMPUTED_VALUE"""),20.0)</f>
        <v>20</v>
      </c>
      <c r="O34" s="8"/>
      <c r="P34" s="8"/>
      <c r="Q34" s="8"/>
      <c r="R34" s="8"/>
      <c r="S34" s="8"/>
      <c r="T34" s="8"/>
      <c r="U34" s="8"/>
      <c r="V34" s="8"/>
      <c r="W34" s="8"/>
      <c r="X34" s="8"/>
      <c r="Y34" s="8"/>
      <c r="Z34" s="8"/>
    </row>
    <row r="35">
      <c r="A35" s="8">
        <f>IFERROR(__xludf.DUMMYFUNCTION("""COMPUTED_VALUE"""),35.0)</f>
        <v>35</v>
      </c>
      <c r="B35" s="8" t="str">
        <f>IFERROR(__xludf.DUMMYFUNCTION("""COMPUTED_VALUE"""),"cashew")</f>
        <v>cashew</v>
      </c>
      <c r="C35" s="8" t="str">
        <f>IFERROR(__xludf.DUMMYFUNCTION("""COMPUTED_VALUE"""),"graft")</f>
        <v>graft</v>
      </c>
      <c r="D35" s="55" t="str">
        <f>IFERROR(__xludf.DUMMYFUNCTION("""COMPUTED_VALUE"""),"Anacardium occidentale")</f>
        <v>Anacardium occidentale</v>
      </c>
      <c r="E35" s="8" t="str">
        <f>IFERROR(__xludf.DUMMYFUNCTION("""COMPUTED_VALUE"""),"X3264 (Yellow)")</f>
        <v>X3264 (Yellow)</v>
      </c>
      <c r="F35" s="8" t="str">
        <f>IFERROR(__xludf.DUMMYFUNCTION("""COMPUTED_VALUE"""),"Cashew")</f>
        <v>Cashew</v>
      </c>
      <c r="G35" s="8" t="str">
        <f>IFERROR(__xludf.DUMMYFUNCTION("""COMPUTED_VALUE"""),"Anacardier")</f>
        <v>Anacardier</v>
      </c>
      <c r="H35" s="8" t="str">
        <f>IFERROR(__xludf.DUMMYFUNCTION("""COMPUTED_VALUE"""),"graft")</f>
        <v>graft</v>
      </c>
      <c r="I35" s="8" t="str">
        <f>IFERROR(__xludf.DUMMYFUNCTION("""COMPUTED_VALUE"""),"C035")</f>
        <v>C035</v>
      </c>
      <c r="J35" s="8" t="str">
        <f>IFERROR(__xludf.DUMMYFUNCTION("""COMPUTED_VALUE"""),"03N11")</f>
        <v>03N11</v>
      </c>
      <c r="K35" s="8"/>
      <c r="L35" s="8">
        <f>IFERROR(__xludf.DUMMYFUNCTION("""COMPUTED_VALUE"""),1.0)</f>
        <v>1</v>
      </c>
      <c r="M35" s="8">
        <f>IFERROR(__xludf.DUMMYFUNCTION("""COMPUTED_VALUE"""),0.0)</f>
        <v>0</v>
      </c>
      <c r="N35" s="8">
        <f>IFERROR(__xludf.DUMMYFUNCTION("""COMPUTED_VALUE"""),20.0)</f>
        <v>20</v>
      </c>
      <c r="O35" s="8"/>
      <c r="P35" s="8"/>
      <c r="Q35" s="8"/>
      <c r="R35" s="8"/>
      <c r="S35" s="8"/>
      <c r="T35" s="8"/>
      <c r="U35" s="8"/>
      <c r="V35" s="8"/>
      <c r="W35" s="8"/>
      <c r="X35" s="8"/>
      <c r="Y35" s="8"/>
      <c r="Z35" s="8"/>
    </row>
    <row r="36">
      <c r="A36" s="8">
        <f>IFERROR(__xludf.DUMMYFUNCTION("""COMPUTED_VALUE"""),36.0)</f>
        <v>36</v>
      </c>
      <c r="B36" s="8" t="str">
        <f>IFERROR(__xludf.DUMMYFUNCTION("""COMPUTED_VALUE"""),"cashew")</f>
        <v>cashew</v>
      </c>
      <c r="C36" s="8" t="str">
        <f>IFERROR(__xludf.DUMMYFUNCTION("""COMPUTED_VALUE"""),"graft")</f>
        <v>graft</v>
      </c>
      <c r="D36" s="55" t="str">
        <f>IFERROR(__xludf.DUMMYFUNCTION("""COMPUTED_VALUE"""),"Anacardium occidentale")</f>
        <v>Anacardium occidentale</v>
      </c>
      <c r="E36" s="8" t="str">
        <f>IFERROR(__xludf.DUMMYFUNCTION("""COMPUTED_VALUE"""),"X3264 (Yellow)")</f>
        <v>X3264 (Yellow)</v>
      </c>
      <c r="F36" s="8" t="str">
        <f>IFERROR(__xludf.DUMMYFUNCTION("""COMPUTED_VALUE"""),"Cashew")</f>
        <v>Cashew</v>
      </c>
      <c r="G36" s="8" t="str">
        <f>IFERROR(__xludf.DUMMYFUNCTION("""COMPUTED_VALUE"""),"Anacardier")</f>
        <v>Anacardier</v>
      </c>
      <c r="H36" s="8" t="str">
        <f>IFERROR(__xludf.DUMMYFUNCTION("""COMPUTED_VALUE"""),"graft")</f>
        <v>graft</v>
      </c>
      <c r="I36" s="8" t="str">
        <f>IFERROR(__xludf.DUMMYFUNCTION("""COMPUTED_VALUE"""),"C036")</f>
        <v>C036</v>
      </c>
      <c r="J36" s="8" t="str">
        <f>IFERROR(__xludf.DUMMYFUNCTION("""COMPUTED_VALUE"""),"03N12")</f>
        <v>03N12</v>
      </c>
      <c r="K36" s="8"/>
      <c r="L36" s="8">
        <f>IFERROR(__xludf.DUMMYFUNCTION("""COMPUTED_VALUE"""),1.0)</f>
        <v>1</v>
      </c>
      <c r="M36" s="8">
        <f>IFERROR(__xludf.DUMMYFUNCTION("""COMPUTED_VALUE"""),0.0)</f>
        <v>0</v>
      </c>
      <c r="N36" s="8">
        <f>IFERROR(__xludf.DUMMYFUNCTION("""COMPUTED_VALUE"""),20.0)</f>
        <v>20</v>
      </c>
      <c r="O36" s="8"/>
      <c r="P36" s="8"/>
      <c r="Q36" s="8"/>
      <c r="R36" s="8"/>
      <c r="S36" s="8"/>
      <c r="T36" s="8"/>
      <c r="U36" s="8"/>
      <c r="V36" s="8"/>
      <c r="W36" s="8"/>
      <c r="X36" s="8"/>
      <c r="Y36" s="8"/>
      <c r="Z36" s="8"/>
    </row>
    <row r="37">
      <c r="A37" s="8">
        <f>IFERROR(__xludf.DUMMYFUNCTION("""COMPUTED_VALUE"""),37.0)</f>
        <v>37</v>
      </c>
      <c r="B37" s="8" t="str">
        <f>IFERROR(__xludf.DUMMYFUNCTION("""COMPUTED_VALUE"""),"cashew")</f>
        <v>cashew</v>
      </c>
      <c r="C37" s="8" t="str">
        <f>IFERROR(__xludf.DUMMYFUNCTION("""COMPUTED_VALUE"""),"graft")</f>
        <v>graft</v>
      </c>
      <c r="D37" s="55" t="str">
        <f>IFERROR(__xludf.DUMMYFUNCTION("""COMPUTED_VALUE"""),"Anacardium occidentale")</f>
        <v>Anacardium occidentale</v>
      </c>
      <c r="E37" s="8" t="str">
        <f>IFERROR(__xludf.DUMMYFUNCTION("""COMPUTED_VALUE"""),"X3264 (Yellow)")</f>
        <v>X3264 (Yellow)</v>
      </c>
      <c r="F37" s="8" t="str">
        <f>IFERROR(__xludf.DUMMYFUNCTION("""COMPUTED_VALUE"""),"Cashew")</f>
        <v>Cashew</v>
      </c>
      <c r="G37" s="8" t="str">
        <f>IFERROR(__xludf.DUMMYFUNCTION("""COMPUTED_VALUE"""),"Anacardier")</f>
        <v>Anacardier</v>
      </c>
      <c r="H37" s="8" t="str">
        <f>IFERROR(__xludf.DUMMYFUNCTION("""COMPUTED_VALUE"""),"graft")</f>
        <v>graft</v>
      </c>
      <c r="I37" s="8" t="str">
        <f>IFERROR(__xludf.DUMMYFUNCTION("""COMPUTED_VALUE"""),"C037")</f>
        <v>C037</v>
      </c>
      <c r="J37" s="8" t="str">
        <f>IFERROR(__xludf.DUMMYFUNCTION("""COMPUTED_VALUE"""),"04N01")</f>
        <v>04N01</v>
      </c>
      <c r="K37" s="8"/>
      <c r="L37" s="8">
        <f>IFERROR(__xludf.DUMMYFUNCTION("""COMPUTED_VALUE"""),1.0)</f>
        <v>1</v>
      </c>
      <c r="M37" s="8">
        <f>IFERROR(__xludf.DUMMYFUNCTION("""COMPUTED_VALUE"""),0.0)</f>
        <v>0</v>
      </c>
      <c r="N37" s="8">
        <f>IFERROR(__xludf.DUMMYFUNCTION("""COMPUTED_VALUE"""),20.0)</f>
        <v>20</v>
      </c>
      <c r="O37" s="8"/>
      <c r="P37" s="8"/>
      <c r="Q37" s="8"/>
      <c r="R37" s="8"/>
      <c r="S37" s="8"/>
      <c r="T37" s="8"/>
      <c r="U37" s="8"/>
      <c r="V37" s="8"/>
      <c r="W37" s="8"/>
      <c r="X37" s="8"/>
      <c r="Y37" s="8"/>
      <c r="Z37" s="8"/>
    </row>
    <row r="38">
      <c r="A38" s="8">
        <f>IFERROR(__xludf.DUMMYFUNCTION("""COMPUTED_VALUE"""),38.0)</f>
        <v>38</v>
      </c>
      <c r="B38" s="8" t="str">
        <f>IFERROR(__xludf.DUMMYFUNCTION("""COMPUTED_VALUE"""),"cashew")</f>
        <v>cashew</v>
      </c>
      <c r="C38" s="8" t="str">
        <f>IFERROR(__xludf.DUMMYFUNCTION("""COMPUTED_VALUE"""),"graft")</f>
        <v>graft</v>
      </c>
      <c r="D38" s="55" t="str">
        <f>IFERROR(__xludf.DUMMYFUNCTION("""COMPUTED_VALUE"""),"Anacardium occidentale")</f>
        <v>Anacardium occidentale</v>
      </c>
      <c r="E38" s="8" t="str">
        <f>IFERROR(__xludf.DUMMYFUNCTION("""COMPUTED_VALUE"""),"X3264 (Yellow)")</f>
        <v>X3264 (Yellow)</v>
      </c>
      <c r="F38" s="8" t="str">
        <f>IFERROR(__xludf.DUMMYFUNCTION("""COMPUTED_VALUE"""),"Cashew")</f>
        <v>Cashew</v>
      </c>
      <c r="G38" s="8" t="str">
        <f>IFERROR(__xludf.DUMMYFUNCTION("""COMPUTED_VALUE"""),"Anacardier")</f>
        <v>Anacardier</v>
      </c>
      <c r="H38" s="8" t="str">
        <f>IFERROR(__xludf.DUMMYFUNCTION("""COMPUTED_VALUE"""),"graft")</f>
        <v>graft</v>
      </c>
      <c r="I38" s="8" t="str">
        <f>IFERROR(__xludf.DUMMYFUNCTION("""COMPUTED_VALUE"""),"C038")</f>
        <v>C038</v>
      </c>
      <c r="J38" s="8" t="str">
        <f>IFERROR(__xludf.DUMMYFUNCTION("""COMPUTED_VALUE"""),"04N02")</f>
        <v>04N02</v>
      </c>
      <c r="K38" s="8"/>
      <c r="L38" s="8">
        <f>IFERROR(__xludf.DUMMYFUNCTION("""COMPUTED_VALUE"""),1.0)</f>
        <v>1</v>
      </c>
      <c r="M38" s="8">
        <f>IFERROR(__xludf.DUMMYFUNCTION("""COMPUTED_VALUE"""),0.0)</f>
        <v>0</v>
      </c>
      <c r="N38" s="8">
        <f>IFERROR(__xludf.DUMMYFUNCTION("""COMPUTED_VALUE"""),20.0)</f>
        <v>20</v>
      </c>
      <c r="O38" s="8"/>
      <c r="P38" s="8"/>
      <c r="Q38" s="8"/>
      <c r="R38" s="8"/>
      <c r="S38" s="8"/>
      <c r="T38" s="8"/>
      <c r="U38" s="8"/>
      <c r="V38" s="8"/>
      <c r="W38" s="8"/>
      <c r="X38" s="8"/>
      <c r="Y38" s="8"/>
      <c r="Z38" s="8"/>
    </row>
    <row r="39">
      <c r="A39" s="8">
        <f>IFERROR(__xludf.DUMMYFUNCTION("""COMPUTED_VALUE"""),39.0)</f>
        <v>39</v>
      </c>
      <c r="B39" s="8" t="str">
        <f>IFERROR(__xludf.DUMMYFUNCTION("""COMPUTED_VALUE"""),"cashew")</f>
        <v>cashew</v>
      </c>
      <c r="C39" s="8" t="str">
        <f>IFERROR(__xludf.DUMMYFUNCTION("""COMPUTED_VALUE"""),"graft")</f>
        <v>graft</v>
      </c>
      <c r="D39" s="55" t="str">
        <f>IFERROR(__xludf.DUMMYFUNCTION("""COMPUTED_VALUE"""),"Anacardium occidentale")</f>
        <v>Anacardium occidentale</v>
      </c>
      <c r="E39" s="8" t="str">
        <f>IFERROR(__xludf.DUMMYFUNCTION("""COMPUTED_VALUE"""),"X3264 (Yellow)")</f>
        <v>X3264 (Yellow)</v>
      </c>
      <c r="F39" s="8" t="str">
        <f>IFERROR(__xludf.DUMMYFUNCTION("""COMPUTED_VALUE"""),"Cashew")</f>
        <v>Cashew</v>
      </c>
      <c r="G39" s="8" t="str">
        <f>IFERROR(__xludf.DUMMYFUNCTION("""COMPUTED_VALUE"""),"Anacardier")</f>
        <v>Anacardier</v>
      </c>
      <c r="H39" s="8" t="str">
        <f>IFERROR(__xludf.DUMMYFUNCTION("""COMPUTED_VALUE"""),"graft")</f>
        <v>graft</v>
      </c>
      <c r="I39" s="8" t="str">
        <f>IFERROR(__xludf.DUMMYFUNCTION("""COMPUTED_VALUE"""),"C039")</f>
        <v>C039</v>
      </c>
      <c r="J39" s="8" t="str">
        <f>IFERROR(__xludf.DUMMYFUNCTION("""COMPUTED_VALUE"""),"04N03")</f>
        <v>04N03</v>
      </c>
      <c r="K39" s="8"/>
      <c r="L39" s="8">
        <f>IFERROR(__xludf.DUMMYFUNCTION("""COMPUTED_VALUE"""),1.0)</f>
        <v>1</v>
      </c>
      <c r="M39" s="8">
        <f>IFERROR(__xludf.DUMMYFUNCTION("""COMPUTED_VALUE"""),0.0)</f>
        <v>0</v>
      </c>
      <c r="N39" s="8">
        <f>IFERROR(__xludf.DUMMYFUNCTION("""COMPUTED_VALUE"""),20.0)</f>
        <v>20</v>
      </c>
      <c r="O39" s="8"/>
      <c r="P39" s="8"/>
      <c r="Q39" s="8"/>
      <c r="R39" s="8"/>
      <c r="S39" s="8"/>
      <c r="T39" s="8"/>
      <c r="U39" s="8"/>
      <c r="V39" s="8"/>
      <c r="W39" s="8"/>
      <c r="X39" s="8"/>
      <c r="Y39" s="8"/>
      <c r="Z39" s="8"/>
    </row>
    <row r="40">
      <c r="A40" s="8">
        <f>IFERROR(__xludf.DUMMYFUNCTION("""COMPUTED_VALUE"""),40.0)</f>
        <v>40</v>
      </c>
      <c r="B40" s="8" t="str">
        <f>IFERROR(__xludf.DUMMYFUNCTION("""COMPUTED_VALUE"""),"cashew")</f>
        <v>cashew</v>
      </c>
      <c r="C40" s="8" t="str">
        <f>IFERROR(__xludf.DUMMYFUNCTION("""COMPUTED_VALUE"""),"graft")</f>
        <v>graft</v>
      </c>
      <c r="D40" s="55" t="str">
        <f>IFERROR(__xludf.DUMMYFUNCTION("""COMPUTED_VALUE"""),"Anacardium occidentale")</f>
        <v>Anacardium occidentale</v>
      </c>
      <c r="E40" s="8" t="str">
        <f>IFERROR(__xludf.DUMMYFUNCTION("""COMPUTED_VALUE"""),"X3264 (Yellow)")</f>
        <v>X3264 (Yellow)</v>
      </c>
      <c r="F40" s="8" t="str">
        <f>IFERROR(__xludf.DUMMYFUNCTION("""COMPUTED_VALUE"""),"Cashew")</f>
        <v>Cashew</v>
      </c>
      <c r="G40" s="8" t="str">
        <f>IFERROR(__xludf.DUMMYFUNCTION("""COMPUTED_VALUE"""),"Anacardier")</f>
        <v>Anacardier</v>
      </c>
      <c r="H40" s="8" t="str">
        <f>IFERROR(__xludf.DUMMYFUNCTION("""COMPUTED_VALUE"""),"graft")</f>
        <v>graft</v>
      </c>
      <c r="I40" s="8" t="str">
        <f>IFERROR(__xludf.DUMMYFUNCTION("""COMPUTED_VALUE"""),"C040")</f>
        <v>C040</v>
      </c>
      <c r="J40" s="8" t="str">
        <f>IFERROR(__xludf.DUMMYFUNCTION("""COMPUTED_VALUE"""),"04N05")</f>
        <v>04N05</v>
      </c>
      <c r="K40" s="8"/>
      <c r="L40" s="8">
        <f>IFERROR(__xludf.DUMMYFUNCTION("""COMPUTED_VALUE"""),1.0)</f>
        <v>1</v>
      </c>
      <c r="M40" s="8">
        <f>IFERROR(__xludf.DUMMYFUNCTION("""COMPUTED_VALUE"""),0.0)</f>
        <v>0</v>
      </c>
      <c r="N40" s="8">
        <f>IFERROR(__xludf.DUMMYFUNCTION("""COMPUTED_VALUE"""),20.0)</f>
        <v>20</v>
      </c>
      <c r="O40" s="8"/>
      <c r="P40" s="8"/>
      <c r="Q40" s="8"/>
      <c r="R40" s="8"/>
      <c r="S40" s="8"/>
      <c r="T40" s="8"/>
      <c r="U40" s="8"/>
      <c r="V40" s="8"/>
      <c r="W40" s="8"/>
      <c r="X40" s="8"/>
      <c r="Y40" s="8"/>
      <c r="Z40" s="8"/>
    </row>
    <row r="41">
      <c r="A41" s="8">
        <f>IFERROR(__xludf.DUMMYFUNCTION("""COMPUTED_VALUE"""),41.0)</f>
        <v>41</v>
      </c>
      <c r="B41" s="8" t="str">
        <f>IFERROR(__xludf.DUMMYFUNCTION("""COMPUTED_VALUE"""),"cashew")</f>
        <v>cashew</v>
      </c>
      <c r="C41" s="8" t="str">
        <f>IFERROR(__xludf.DUMMYFUNCTION("""COMPUTED_VALUE"""),"graft")</f>
        <v>graft</v>
      </c>
      <c r="D41" s="55" t="str">
        <f>IFERROR(__xludf.DUMMYFUNCTION("""COMPUTED_VALUE"""),"Anacardium occidentale")</f>
        <v>Anacardium occidentale</v>
      </c>
      <c r="E41" s="8" t="str">
        <f>IFERROR(__xludf.DUMMYFUNCTION("""COMPUTED_VALUE"""),"X3264 (Yellow)")</f>
        <v>X3264 (Yellow)</v>
      </c>
      <c r="F41" s="8" t="str">
        <f>IFERROR(__xludf.DUMMYFUNCTION("""COMPUTED_VALUE"""),"Cashew")</f>
        <v>Cashew</v>
      </c>
      <c r="G41" s="8" t="str">
        <f>IFERROR(__xludf.DUMMYFUNCTION("""COMPUTED_VALUE"""),"Anacardier")</f>
        <v>Anacardier</v>
      </c>
      <c r="H41" s="8" t="str">
        <f>IFERROR(__xludf.DUMMYFUNCTION("""COMPUTED_VALUE"""),"graft")</f>
        <v>graft</v>
      </c>
      <c r="I41" s="8" t="str">
        <f>IFERROR(__xludf.DUMMYFUNCTION("""COMPUTED_VALUE"""),"C041")</f>
        <v>C041</v>
      </c>
      <c r="J41" s="8" t="str">
        <f>IFERROR(__xludf.DUMMYFUNCTION("""COMPUTED_VALUE"""),"04N06")</f>
        <v>04N06</v>
      </c>
      <c r="K41" s="8"/>
      <c r="L41" s="8">
        <f>IFERROR(__xludf.DUMMYFUNCTION("""COMPUTED_VALUE"""),1.0)</f>
        <v>1</v>
      </c>
      <c r="M41" s="8">
        <f>IFERROR(__xludf.DUMMYFUNCTION("""COMPUTED_VALUE"""),0.0)</f>
        <v>0</v>
      </c>
      <c r="N41" s="8">
        <f>IFERROR(__xludf.DUMMYFUNCTION("""COMPUTED_VALUE"""),20.0)</f>
        <v>20</v>
      </c>
      <c r="O41" s="8"/>
      <c r="P41" s="8"/>
      <c r="Q41" s="8"/>
      <c r="R41" s="8"/>
      <c r="S41" s="8"/>
      <c r="T41" s="8"/>
      <c r="U41" s="8"/>
      <c r="V41" s="8"/>
      <c r="W41" s="8"/>
      <c r="X41" s="8"/>
      <c r="Y41" s="8"/>
      <c r="Z41" s="8"/>
    </row>
    <row r="42">
      <c r="A42" s="8">
        <f>IFERROR(__xludf.DUMMYFUNCTION("""COMPUTED_VALUE"""),42.0)</f>
        <v>42</v>
      </c>
      <c r="B42" s="8" t="str">
        <f>IFERROR(__xludf.DUMMYFUNCTION("""COMPUTED_VALUE"""),"cashew")</f>
        <v>cashew</v>
      </c>
      <c r="C42" s="8" t="str">
        <f>IFERROR(__xludf.DUMMYFUNCTION("""COMPUTED_VALUE"""),"graft")</f>
        <v>graft</v>
      </c>
      <c r="D42" s="55" t="str">
        <f>IFERROR(__xludf.DUMMYFUNCTION("""COMPUTED_VALUE"""),"Anacardium occidentale")</f>
        <v>Anacardium occidentale</v>
      </c>
      <c r="E42" s="8" t="str">
        <f>IFERROR(__xludf.DUMMYFUNCTION("""COMPUTED_VALUE"""),"X4297 (Red)")</f>
        <v>X4297 (Red)</v>
      </c>
      <c r="F42" s="8" t="str">
        <f>IFERROR(__xludf.DUMMYFUNCTION("""COMPUTED_VALUE"""),"Cashew")</f>
        <v>Cashew</v>
      </c>
      <c r="G42" s="8" t="str">
        <f>IFERROR(__xludf.DUMMYFUNCTION("""COMPUTED_VALUE"""),"Anacardier")</f>
        <v>Anacardier</v>
      </c>
      <c r="H42" s="8" t="str">
        <f>IFERROR(__xludf.DUMMYFUNCTION("""COMPUTED_VALUE"""),"graft")</f>
        <v>graft</v>
      </c>
      <c r="I42" s="8" t="str">
        <f>IFERROR(__xludf.DUMMYFUNCTION("""COMPUTED_VALUE"""),"C042")</f>
        <v>C042</v>
      </c>
      <c r="J42" s="8" t="str">
        <f>IFERROR(__xludf.DUMMYFUNCTION("""COMPUTED_VALUE"""),"04N07")</f>
        <v>04N07</v>
      </c>
      <c r="K42" s="8"/>
      <c r="L42" s="8">
        <f>IFERROR(__xludf.DUMMYFUNCTION("""COMPUTED_VALUE"""),1.0)</f>
        <v>1</v>
      </c>
      <c r="M42" s="8">
        <f>IFERROR(__xludf.DUMMYFUNCTION("""COMPUTED_VALUE"""),0.0)</f>
        <v>0</v>
      </c>
      <c r="N42" s="8">
        <f>IFERROR(__xludf.DUMMYFUNCTION("""COMPUTED_VALUE"""),22.0)</f>
        <v>22</v>
      </c>
      <c r="O42" s="8"/>
      <c r="P42" s="8"/>
      <c r="Q42" s="8"/>
      <c r="R42" s="8"/>
      <c r="S42" s="8"/>
      <c r="T42" s="8"/>
      <c r="U42" s="8"/>
      <c r="V42" s="8"/>
      <c r="W42" s="8"/>
      <c r="X42" s="8"/>
      <c r="Y42" s="8"/>
      <c r="Z42" s="8"/>
    </row>
    <row r="43">
      <c r="A43" s="8">
        <f>IFERROR(__xludf.DUMMYFUNCTION("""COMPUTED_VALUE"""),43.0)</f>
        <v>43</v>
      </c>
      <c r="B43" s="8" t="str">
        <f>IFERROR(__xludf.DUMMYFUNCTION("""COMPUTED_VALUE"""),"cashew")</f>
        <v>cashew</v>
      </c>
      <c r="C43" s="8" t="str">
        <f>IFERROR(__xludf.DUMMYFUNCTION("""COMPUTED_VALUE"""),"graft")</f>
        <v>graft</v>
      </c>
      <c r="D43" s="55" t="str">
        <f>IFERROR(__xludf.DUMMYFUNCTION("""COMPUTED_VALUE"""),"Anacardium occidentale")</f>
        <v>Anacardium occidentale</v>
      </c>
      <c r="E43" s="8" t="str">
        <f>IFERROR(__xludf.DUMMYFUNCTION("""COMPUTED_VALUE"""),"X4297 (Red)")</f>
        <v>X4297 (Red)</v>
      </c>
      <c r="F43" s="8" t="str">
        <f>IFERROR(__xludf.DUMMYFUNCTION("""COMPUTED_VALUE"""),"Cashew")</f>
        <v>Cashew</v>
      </c>
      <c r="G43" s="8" t="str">
        <f>IFERROR(__xludf.DUMMYFUNCTION("""COMPUTED_VALUE"""),"Anacardier")</f>
        <v>Anacardier</v>
      </c>
      <c r="H43" s="8" t="str">
        <f>IFERROR(__xludf.DUMMYFUNCTION("""COMPUTED_VALUE"""),"graft")</f>
        <v>graft</v>
      </c>
      <c r="I43" s="8" t="str">
        <f>IFERROR(__xludf.DUMMYFUNCTION("""COMPUTED_VALUE"""),"C043")</f>
        <v>C043</v>
      </c>
      <c r="J43" s="8" t="str">
        <f>IFERROR(__xludf.DUMMYFUNCTION("""COMPUTED_VALUE"""),"04N08")</f>
        <v>04N08</v>
      </c>
      <c r="K43" s="8"/>
      <c r="L43" s="8">
        <f>IFERROR(__xludf.DUMMYFUNCTION("""COMPUTED_VALUE"""),1.0)</f>
        <v>1</v>
      </c>
      <c r="M43" s="8">
        <f>IFERROR(__xludf.DUMMYFUNCTION("""COMPUTED_VALUE"""),0.0)</f>
        <v>0</v>
      </c>
      <c r="N43" s="8">
        <f>IFERROR(__xludf.DUMMYFUNCTION("""COMPUTED_VALUE"""),22.0)</f>
        <v>22</v>
      </c>
      <c r="O43" s="8"/>
      <c r="P43" s="8"/>
      <c r="Q43" s="8"/>
      <c r="R43" s="8"/>
      <c r="S43" s="8"/>
      <c r="T43" s="8"/>
      <c r="U43" s="8"/>
      <c r="V43" s="8"/>
      <c r="W43" s="8"/>
      <c r="X43" s="8"/>
      <c r="Y43" s="8"/>
      <c r="Z43" s="8"/>
    </row>
    <row r="44">
      <c r="A44" s="8">
        <f>IFERROR(__xludf.DUMMYFUNCTION("""COMPUTED_VALUE"""),44.0)</f>
        <v>44</v>
      </c>
      <c r="B44" s="8" t="str">
        <f>IFERROR(__xludf.DUMMYFUNCTION("""COMPUTED_VALUE"""),"cashew")</f>
        <v>cashew</v>
      </c>
      <c r="C44" s="8" t="str">
        <f>IFERROR(__xludf.DUMMYFUNCTION("""COMPUTED_VALUE"""),"graft")</f>
        <v>graft</v>
      </c>
      <c r="D44" s="55" t="str">
        <f>IFERROR(__xludf.DUMMYFUNCTION("""COMPUTED_VALUE"""),"Anacardium occidentale")</f>
        <v>Anacardium occidentale</v>
      </c>
      <c r="E44" s="8" t="str">
        <f>IFERROR(__xludf.DUMMYFUNCTION("""COMPUTED_VALUE"""),"X4297 (Red)")</f>
        <v>X4297 (Red)</v>
      </c>
      <c r="F44" s="8" t="str">
        <f>IFERROR(__xludf.DUMMYFUNCTION("""COMPUTED_VALUE"""),"Cashew")</f>
        <v>Cashew</v>
      </c>
      <c r="G44" s="8" t="str">
        <f>IFERROR(__xludf.DUMMYFUNCTION("""COMPUTED_VALUE"""),"Anacardier")</f>
        <v>Anacardier</v>
      </c>
      <c r="H44" s="8" t="str">
        <f>IFERROR(__xludf.DUMMYFUNCTION("""COMPUTED_VALUE"""),"graft")</f>
        <v>graft</v>
      </c>
      <c r="I44" s="8" t="str">
        <f>IFERROR(__xludf.DUMMYFUNCTION("""COMPUTED_VALUE"""),"C044")</f>
        <v>C044</v>
      </c>
      <c r="J44" s="8" t="str">
        <f>IFERROR(__xludf.DUMMYFUNCTION("""COMPUTED_VALUE"""),"04N09")</f>
        <v>04N09</v>
      </c>
      <c r="K44" s="8"/>
      <c r="L44" s="8">
        <f>IFERROR(__xludf.DUMMYFUNCTION("""COMPUTED_VALUE"""),1.0)</f>
        <v>1</v>
      </c>
      <c r="M44" s="8">
        <f>IFERROR(__xludf.DUMMYFUNCTION("""COMPUTED_VALUE"""),0.0)</f>
        <v>0</v>
      </c>
      <c r="N44" s="8">
        <f>IFERROR(__xludf.DUMMYFUNCTION("""COMPUTED_VALUE"""),22.0)</f>
        <v>22</v>
      </c>
      <c r="O44" s="8"/>
      <c r="P44" s="8"/>
      <c r="Q44" s="8"/>
      <c r="R44" s="8"/>
      <c r="S44" s="8"/>
      <c r="T44" s="8"/>
      <c r="U44" s="8"/>
      <c r="V44" s="8"/>
      <c r="W44" s="8"/>
      <c r="X44" s="8"/>
      <c r="Y44" s="8"/>
      <c r="Z44" s="8"/>
    </row>
    <row r="45">
      <c r="A45" s="8">
        <f>IFERROR(__xludf.DUMMYFUNCTION("""COMPUTED_VALUE"""),45.0)</f>
        <v>45</v>
      </c>
      <c r="B45" s="8" t="str">
        <f>IFERROR(__xludf.DUMMYFUNCTION("""COMPUTED_VALUE"""),"cashew")</f>
        <v>cashew</v>
      </c>
      <c r="C45" s="8" t="str">
        <f>IFERROR(__xludf.DUMMYFUNCTION("""COMPUTED_VALUE"""),"graft")</f>
        <v>graft</v>
      </c>
      <c r="D45" s="55" t="str">
        <f>IFERROR(__xludf.DUMMYFUNCTION("""COMPUTED_VALUE"""),"Anacardium occidentale")</f>
        <v>Anacardium occidentale</v>
      </c>
      <c r="E45" s="8" t="str">
        <f>IFERROR(__xludf.DUMMYFUNCTION("""COMPUTED_VALUE"""),"X4297 (Red)")</f>
        <v>X4297 (Red)</v>
      </c>
      <c r="F45" s="8" t="str">
        <f>IFERROR(__xludf.DUMMYFUNCTION("""COMPUTED_VALUE"""),"Cashew")</f>
        <v>Cashew</v>
      </c>
      <c r="G45" s="8" t="str">
        <f>IFERROR(__xludf.DUMMYFUNCTION("""COMPUTED_VALUE"""),"Anacardier")</f>
        <v>Anacardier</v>
      </c>
      <c r="H45" s="8" t="str">
        <f>IFERROR(__xludf.DUMMYFUNCTION("""COMPUTED_VALUE"""),"graft")</f>
        <v>graft</v>
      </c>
      <c r="I45" s="8" t="str">
        <f>IFERROR(__xludf.DUMMYFUNCTION("""COMPUTED_VALUE"""),"C045")</f>
        <v>C045</v>
      </c>
      <c r="J45" s="8" t="str">
        <f>IFERROR(__xludf.DUMMYFUNCTION("""COMPUTED_VALUE"""),"04N10")</f>
        <v>04N10</v>
      </c>
      <c r="K45" s="8"/>
      <c r="L45" s="8">
        <f>IFERROR(__xludf.DUMMYFUNCTION("""COMPUTED_VALUE"""),1.0)</f>
        <v>1</v>
      </c>
      <c r="M45" s="8">
        <f>IFERROR(__xludf.DUMMYFUNCTION("""COMPUTED_VALUE"""),0.0)</f>
        <v>0</v>
      </c>
      <c r="N45" s="8">
        <f>IFERROR(__xludf.DUMMYFUNCTION("""COMPUTED_VALUE"""),22.0)</f>
        <v>22</v>
      </c>
      <c r="O45" s="8"/>
      <c r="P45" s="8"/>
      <c r="Q45" s="8"/>
      <c r="R45" s="8"/>
      <c r="S45" s="8"/>
      <c r="T45" s="8"/>
      <c r="U45" s="8"/>
      <c r="V45" s="8"/>
      <c r="W45" s="8"/>
      <c r="X45" s="8"/>
      <c r="Y45" s="8"/>
      <c r="Z45" s="8"/>
    </row>
    <row r="46">
      <c r="A46" s="8">
        <f>IFERROR(__xludf.DUMMYFUNCTION("""COMPUTED_VALUE"""),46.0)</f>
        <v>46</v>
      </c>
      <c r="B46" s="8" t="str">
        <f>IFERROR(__xludf.DUMMYFUNCTION("""COMPUTED_VALUE"""),"cashew")</f>
        <v>cashew</v>
      </c>
      <c r="C46" s="8" t="str">
        <f>IFERROR(__xludf.DUMMYFUNCTION("""COMPUTED_VALUE"""),"graft")</f>
        <v>graft</v>
      </c>
      <c r="D46" s="55" t="str">
        <f>IFERROR(__xludf.DUMMYFUNCTION("""COMPUTED_VALUE"""),"Anacardium occidentale")</f>
        <v>Anacardium occidentale</v>
      </c>
      <c r="E46" s="8" t="str">
        <f>IFERROR(__xludf.DUMMYFUNCTION("""COMPUTED_VALUE"""),"X4297 (Red)")</f>
        <v>X4297 (Red)</v>
      </c>
      <c r="F46" s="8" t="str">
        <f>IFERROR(__xludf.DUMMYFUNCTION("""COMPUTED_VALUE"""),"Cashew")</f>
        <v>Cashew</v>
      </c>
      <c r="G46" s="8" t="str">
        <f>IFERROR(__xludf.DUMMYFUNCTION("""COMPUTED_VALUE"""),"Anacardier")</f>
        <v>Anacardier</v>
      </c>
      <c r="H46" s="8" t="str">
        <f>IFERROR(__xludf.DUMMYFUNCTION("""COMPUTED_VALUE"""),"graft")</f>
        <v>graft</v>
      </c>
      <c r="I46" s="8" t="str">
        <f>IFERROR(__xludf.DUMMYFUNCTION("""COMPUTED_VALUE"""),"C046")</f>
        <v>C046</v>
      </c>
      <c r="J46" s="8" t="str">
        <f>IFERROR(__xludf.DUMMYFUNCTION("""COMPUTED_VALUE"""),"04N11")</f>
        <v>04N11</v>
      </c>
      <c r="K46" s="8"/>
      <c r="L46" s="8">
        <f>IFERROR(__xludf.DUMMYFUNCTION("""COMPUTED_VALUE"""),1.0)</f>
        <v>1</v>
      </c>
      <c r="M46" s="8">
        <f>IFERROR(__xludf.DUMMYFUNCTION("""COMPUTED_VALUE"""),0.0)</f>
        <v>0</v>
      </c>
      <c r="N46" s="8">
        <f>IFERROR(__xludf.DUMMYFUNCTION("""COMPUTED_VALUE"""),22.0)</f>
        <v>22</v>
      </c>
      <c r="O46" s="8"/>
      <c r="P46" s="8"/>
      <c r="Q46" s="8"/>
      <c r="R46" s="8"/>
      <c r="S46" s="8"/>
      <c r="T46" s="8"/>
      <c r="U46" s="8"/>
      <c r="V46" s="8"/>
      <c r="W46" s="8"/>
      <c r="X46" s="8"/>
      <c r="Y46" s="8"/>
      <c r="Z46" s="8"/>
    </row>
    <row r="47">
      <c r="A47" s="8">
        <f>IFERROR(__xludf.DUMMYFUNCTION("""COMPUTED_VALUE"""),47.0)</f>
        <v>47</v>
      </c>
      <c r="B47" s="8" t="str">
        <f>IFERROR(__xludf.DUMMYFUNCTION("""COMPUTED_VALUE"""),"cashew")</f>
        <v>cashew</v>
      </c>
      <c r="C47" s="8" t="str">
        <f>IFERROR(__xludf.DUMMYFUNCTION("""COMPUTED_VALUE"""),"graft")</f>
        <v>graft</v>
      </c>
      <c r="D47" s="55" t="str">
        <f>IFERROR(__xludf.DUMMYFUNCTION("""COMPUTED_VALUE"""),"Anacardium occidentale")</f>
        <v>Anacardium occidentale</v>
      </c>
      <c r="E47" s="8" t="str">
        <f>IFERROR(__xludf.DUMMYFUNCTION("""COMPUTED_VALUE"""),"X4297 (Red)")</f>
        <v>X4297 (Red)</v>
      </c>
      <c r="F47" s="8" t="str">
        <f>IFERROR(__xludf.DUMMYFUNCTION("""COMPUTED_VALUE"""),"Cashew")</f>
        <v>Cashew</v>
      </c>
      <c r="G47" s="8" t="str">
        <f>IFERROR(__xludf.DUMMYFUNCTION("""COMPUTED_VALUE"""),"Anacardier")</f>
        <v>Anacardier</v>
      </c>
      <c r="H47" s="8" t="str">
        <f>IFERROR(__xludf.DUMMYFUNCTION("""COMPUTED_VALUE"""),"graft")</f>
        <v>graft</v>
      </c>
      <c r="I47" s="8" t="str">
        <f>IFERROR(__xludf.DUMMYFUNCTION("""COMPUTED_VALUE"""),"C047")</f>
        <v>C047</v>
      </c>
      <c r="J47" s="8" t="str">
        <f>IFERROR(__xludf.DUMMYFUNCTION("""COMPUTED_VALUE"""),"04N12")</f>
        <v>04N12</v>
      </c>
      <c r="K47" s="8"/>
      <c r="L47" s="8">
        <f>IFERROR(__xludf.DUMMYFUNCTION("""COMPUTED_VALUE"""),1.0)</f>
        <v>1</v>
      </c>
      <c r="M47" s="8">
        <f>IFERROR(__xludf.DUMMYFUNCTION("""COMPUTED_VALUE"""),0.0)</f>
        <v>0</v>
      </c>
      <c r="N47" s="8">
        <f>IFERROR(__xludf.DUMMYFUNCTION("""COMPUTED_VALUE"""),22.0)</f>
        <v>22</v>
      </c>
      <c r="O47" s="8"/>
      <c r="P47" s="8"/>
      <c r="Q47" s="8"/>
      <c r="R47" s="8"/>
      <c r="S47" s="8"/>
      <c r="T47" s="8"/>
      <c r="U47" s="8"/>
      <c r="V47" s="8"/>
      <c r="W47" s="8"/>
      <c r="X47" s="8"/>
      <c r="Y47" s="8"/>
      <c r="Z47" s="8"/>
    </row>
    <row r="48">
      <c r="A48" s="8">
        <f>IFERROR(__xludf.DUMMYFUNCTION("""COMPUTED_VALUE"""),48.0)</f>
        <v>48</v>
      </c>
      <c r="B48" s="8" t="str">
        <f>IFERROR(__xludf.DUMMYFUNCTION("""COMPUTED_VALUE"""),"cashew")</f>
        <v>cashew</v>
      </c>
      <c r="C48" s="8" t="str">
        <f>IFERROR(__xludf.DUMMYFUNCTION("""COMPUTED_VALUE"""),"graft")</f>
        <v>graft</v>
      </c>
      <c r="D48" s="55" t="str">
        <f>IFERROR(__xludf.DUMMYFUNCTION("""COMPUTED_VALUE"""),"Anacardium occidentale")</f>
        <v>Anacardium occidentale</v>
      </c>
      <c r="E48" s="8" t="str">
        <f>IFERROR(__xludf.DUMMYFUNCTION("""COMPUTED_VALUE"""),"Z330 (Orange)")</f>
        <v>Z330 (Orange)</v>
      </c>
      <c r="F48" s="8" t="str">
        <f>IFERROR(__xludf.DUMMYFUNCTION("""COMPUTED_VALUE"""),"Cashew")</f>
        <v>Cashew</v>
      </c>
      <c r="G48" s="8" t="str">
        <f>IFERROR(__xludf.DUMMYFUNCTION("""COMPUTED_VALUE"""),"Anacardier")</f>
        <v>Anacardier</v>
      </c>
      <c r="H48" s="8" t="str">
        <f>IFERROR(__xludf.DUMMYFUNCTION("""COMPUTED_VALUE"""),"graft")</f>
        <v>graft</v>
      </c>
      <c r="I48" s="8" t="str">
        <f>IFERROR(__xludf.DUMMYFUNCTION("""COMPUTED_VALUE"""),"C048")</f>
        <v>C048</v>
      </c>
      <c r="J48" s="8" t="str">
        <f>IFERROR(__xludf.DUMMYFUNCTION("""COMPUTED_VALUE"""),"05N01")</f>
        <v>05N01</v>
      </c>
      <c r="K48" s="8"/>
      <c r="L48" s="8">
        <f>IFERROR(__xludf.DUMMYFUNCTION("""COMPUTED_VALUE"""),1.0)</f>
        <v>1</v>
      </c>
      <c r="M48" s="8">
        <f>IFERROR(__xludf.DUMMYFUNCTION("""COMPUTED_VALUE"""),0.0)</f>
        <v>0</v>
      </c>
      <c r="N48" s="8">
        <f>IFERROR(__xludf.DUMMYFUNCTION("""COMPUTED_VALUE"""),23.0)</f>
        <v>23</v>
      </c>
      <c r="O48" s="8"/>
      <c r="P48" s="8"/>
      <c r="Q48" s="8"/>
      <c r="R48" s="8"/>
      <c r="S48" s="8"/>
      <c r="T48" s="8"/>
      <c r="U48" s="8"/>
      <c r="V48" s="8"/>
      <c r="W48" s="8"/>
      <c r="X48" s="8"/>
      <c r="Y48" s="8"/>
      <c r="Z48" s="8"/>
    </row>
    <row r="49">
      <c r="A49" s="8">
        <f>IFERROR(__xludf.DUMMYFUNCTION("""COMPUTED_VALUE"""),49.0)</f>
        <v>49</v>
      </c>
      <c r="B49" s="8" t="str">
        <f>IFERROR(__xludf.DUMMYFUNCTION("""COMPUTED_VALUE"""),"cashew")</f>
        <v>cashew</v>
      </c>
      <c r="C49" s="8" t="str">
        <f>IFERROR(__xludf.DUMMYFUNCTION("""COMPUTED_VALUE"""),"graft")</f>
        <v>graft</v>
      </c>
      <c r="D49" s="55" t="str">
        <f>IFERROR(__xludf.DUMMYFUNCTION("""COMPUTED_VALUE"""),"Anacardium occidentale")</f>
        <v>Anacardium occidentale</v>
      </c>
      <c r="E49" s="8" t="str">
        <f>IFERROR(__xludf.DUMMYFUNCTION("""COMPUTED_VALUE"""),"Z330 (Orange)")</f>
        <v>Z330 (Orange)</v>
      </c>
      <c r="F49" s="8" t="str">
        <f>IFERROR(__xludf.DUMMYFUNCTION("""COMPUTED_VALUE"""),"Cashew")</f>
        <v>Cashew</v>
      </c>
      <c r="G49" s="8" t="str">
        <f>IFERROR(__xludf.DUMMYFUNCTION("""COMPUTED_VALUE"""),"Anacardier")</f>
        <v>Anacardier</v>
      </c>
      <c r="H49" s="8" t="str">
        <f>IFERROR(__xludf.DUMMYFUNCTION("""COMPUTED_VALUE"""),"graft")</f>
        <v>graft</v>
      </c>
      <c r="I49" s="8" t="str">
        <f>IFERROR(__xludf.DUMMYFUNCTION("""COMPUTED_VALUE"""),"C049")</f>
        <v>C049</v>
      </c>
      <c r="J49" s="8" t="str">
        <f>IFERROR(__xludf.DUMMYFUNCTION("""COMPUTED_VALUE"""),"05N02")</f>
        <v>05N02</v>
      </c>
      <c r="K49" s="8"/>
      <c r="L49" s="8">
        <f>IFERROR(__xludf.DUMMYFUNCTION("""COMPUTED_VALUE"""),1.0)</f>
        <v>1</v>
      </c>
      <c r="M49" s="8">
        <f>IFERROR(__xludf.DUMMYFUNCTION("""COMPUTED_VALUE"""),0.0)</f>
        <v>0</v>
      </c>
      <c r="N49" s="8">
        <f>IFERROR(__xludf.DUMMYFUNCTION("""COMPUTED_VALUE"""),23.0)</f>
        <v>23</v>
      </c>
      <c r="O49" s="8"/>
      <c r="P49" s="8"/>
      <c r="Q49" s="8"/>
      <c r="R49" s="8"/>
      <c r="S49" s="8"/>
      <c r="T49" s="8"/>
      <c r="U49" s="8"/>
      <c r="V49" s="8"/>
      <c r="W49" s="8"/>
      <c r="X49" s="8"/>
      <c r="Y49" s="8"/>
      <c r="Z49" s="8"/>
    </row>
    <row r="50">
      <c r="A50" s="8">
        <f>IFERROR(__xludf.DUMMYFUNCTION("""COMPUTED_VALUE"""),50.0)</f>
        <v>50</v>
      </c>
      <c r="B50" s="8" t="str">
        <f>IFERROR(__xludf.DUMMYFUNCTION("""COMPUTED_VALUE"""),"cashew")</f>
        <v>cashew</v>
      </c>
      <c r="C50" s="8" t="str">
        <f>IFERROR(__xludf.DUMMYFUNCTION("""COMPUTED_VALUE"""),"graft")</f>
        <v>graft</v>
      </c>
      <c r="D50" s="55" t="str">
        <f>IFERROR(__xludf.DUMMYFUNCTION("""COMPUTED_VALUE"""),"Anacardium occidentale")</f>
        <v>Anacardium occidentale</v>
      </c>
      <c r="E50" s="8" t="str">
        <f>IFERROR(__xludf.DUMMYFUNCTION("""COMPUTED_VALUE"""),"Z330 (Orange)")</f>
        <v>Z330 (Orange)</v>
      </c>
      <c r="F50" s="8" t="str">
        <f>IFERROR(__xludf.DUMMYFUNCTION("""COMPUTED_VALUE"""),"Cashew")</f>
        <v>Cashew</v>
      </c>
      <c r="G50" s="8" t="str">
        <f>IFERROR(__xludf.DUMMYFUNCTION("""COMPUTED_VALUE"""),"Anacardier")</f>
        <v>Anacardier</v>
      </c>
      <c r="H50" s="8" t="str">
        <f>IFERROR(__xludf.DUMMYFUNCTION("""COMPUTED_VALUE"""),"graft")</f>
        <v>graft</v>
      </c>
      <c r="I50" s="8" t="str">
        <f>IFERROR(__xludf.DUMMYFUNCTION("""COMPUTED_VALUE"""),"C050")</f>
        <v>C050</v>
      </c>
      <c r="J50" s="8" t="str">
        <f>IFERROR(__xludf.DUMMYFUNCTION("""COMPUTED_VALUE"""),"05N03")</f>
        <v>05N03</v>
      </c>
      <c r="K50" s="8"/>
      <c r="L50" s="8">
        <f>IFERROR(__xludf.DUMMYFUNCTION("""COMPUTED_VALUE"""),1.0)</f>
        <v>1</v>
      </c>
      <c r="M50" s="8">
        <f>IFERROR(__xludf.DUMMYFUNCTION("""COMPUTED_VALUE"""),0.0)</f>
        <v>0</v>
      </c>
      <c r="N50" s="8">
        <f>IFERROR(__xludf.DUMMYFUNCTION("""COMPUTED_VALUE"""),23.0)</f>
        <v>23</v>
      </c>
      <c r="O50" s="8"/>
      <c r="P50" s="8"/>
      <c r="Q50" s="8"/>
      <c r="R50" s="8"/>
      <c r="S50" s="8"/>
      <c r="T50" s="8"/>
      <c r="U50" s="8"/>
      <c r="V50" s="8"/>
      <c r="W50" s="8"/>
      <c r="X50" s="8"/>
      <c r="Y50" s="8"/>
      <c r="Z50" s="8"/>
    </row>
    <row r="51">
      <c r="A51" s="8">
        <f>IFERROR(__xludf.DUMMYFUNCTION("""COMPUTED_VALUE"""),51.0)</f>
        <v>51</v>
      </c>
      <c r="B51" s="8" t="str">
        <f>IFERROR(__xludf.DUMMYFUNCTION("""COMPUTED_VALUE"""),"cashew")</f>
        <v>cashew</v>
      </c>
      <c r="C51" s="8" t="str">
        <f>IFERROR(__xludf.DUMMYFUNCTION("""COMPUTED_VALUE"""),"graft")</f>
        <v>graft</v>
      </c>
      <c r="D51" s="55" t="str">
        <f>IFERROR(__xludf.DUMMYFUNCTION("""COMPUTED_VALUE"""),"Anacardium occidentale")</f>
        <v>Anacardium occidentale</v>
      </c>
      <c r="E51" s="8" t="str">
        <f>IFERROR(__xludf.DUMMYFUNCTION("""COMPUTED_VALUE"""),"Z330 (Orange)")</f>
        <v>Z330 (Orange)</v>
      </c>
      <c r="F51" s="8" t="str">
        <f>IFERROR(__xludf.DUMMYFUNCTION("""COMPUTED_VALUE"""),"Cashew")</f>
        <v>Cashew</v>
      </c>
      <c r="G51" s="8" t="str">
        <f>IFERROR(__xludf.DUMMYFUNCTION("""COMPUTED_VALUE"""),"Anacardier")</f>
        <v>Anacardier</v>
      </c>
      <c r="H51" s="8" t="str">
        <f>IFERROR(__xludf.DUMMYFUNCTION("""COMPUTED_VALUE"""),"graft")</f>
        <v>graft</v>
      </c>
      <c r="I51" s="8" t="str">
        <f>IFERROR(__xludf.DUMMYFUNCTION("""COMPUTED_VALUE"""),"C051")</f>
        <v>C051</v>
      </c>
      <c r="J51" s="8" t="str">
        <f>IFERROR(__xludf.DUMMYFUNCTION("""COMPUTED_VALUE"""),"05N04")</f>
        <v>05N04</v>
      </c>
      <c r="K51" s="8"/>
      <c r="L51" s="8">
        <f>IFERROR(__xludf.DUMMYFUNCTION("""COMPUTED_VALUE"""),1.0)</f>
        <v>1</v>
      </c>
      <c r="M51" s="8">
        <f>IFERROR(__xludf.DUMMYFUNCTION("""COMPUTED_VALUE"""),0.0)</f>
        <v>0</v>
      </c>
      <c r="N51" s="8">
        <f>IFERROR(__xludf.DUMMYFUNCTION("""COMPUTED_VALUE"""),23.0)</f>
        <v>23</v>
      </c>
      <c r="O51" s="8"/>
      <c r="P51" s="8"/>
      <c r="Q51" s="8"/>
      <c r="R51" s="8"/>
      <c r="S51" s="8"/>
      <c r="T51" s="8"/>
      <c r="U51" s="8"/>
      <c r="V51" s="8"/>
      <c r="W51" s="8"/>
      <c r="X51" s="8"/>
      <c r="Y51" s="8"/>
      <c r="Z51" s="8"/>
    </row>
    <row r="52">
      <c r="A52" s="8">
        <f>IFERROR(__xludf.DUMMYFUNCTION("""COMPUTED_VALUE"""),52.0)</f>
        <v>52</v>
      </c>
      <c r="B52" s="8" t="str">
        <f>IFERROR(__xludf.DUMMYFUNCTION("""COMPUTED_VALUE"""),"cashew")</f>
        <v>cashew</v>
      </c>
      <c r="C52" s="8" t="str">
        <f>IFERROR(__xludf.DUMMYFUNCTION("""COMPUTED_VALUE"""),"graft")</f>
        <v>graft</v>
      </c>
      <c r="D52" s="55" t="str">
        <f>IFERROR(__xludf.DUMMYFUNCTION("""COMPUTED_VALUE"""),"Anacardium occidentale")</f>
        <v>Anacardium occidentale</v>
      </c>
      <c r="E52" s="8" t="str">
        <f>IFERROR(__xludf.DUMMYFUNCTION("""COMPUTED_VALUE"""),"Z330 (Orange)")</f>
        <v>Z330 (Orange)</v>
      </c>
      <c r="F52" s="8" t="str">
        <f>IFERROR(__xludf.DUMMYFUNCTION("""COMPUTED_VALUE"""),"Cashew")</f>
        <v>Cashew</v>
      </c>
      <c r="G52" s="8" t="str">
        <f>IFERROR(__xludf.DUMMYFUNCTION("""COMPUTED_VALUE"""),"Anacardier")</f>
        <v>Anacardier</v>
      </c>
      <c r="H52" s="8" t="str">
        <f>IFERROR(__xludf.DUMMYFUNCTION("""COMPUTED_VALUE"""),"graft")</f>
        <v>graft</v>
      </c>
      <c r="I52" s="8" t="str">
        <f>IFERROR(__xludf.DUMMYFUNCTION("""COMPUTED_VALUE"""),"C052")</f>
        <v>C052</v>
      </c>
      <c r="J52" s="8" t="str">
        <f>IFERROR(__xludf.DUMMYFUNCTION("""COMPUTED_VALUE"""),"05N05")</f>
        <v>05N05</v>
      </c>
      <c r="K52" s="8"/>
      <c r="L52" s="8">
        <f>IFERROR(__xludf.DUMMYFUNCTION("""COMPUTED_VALUE"""),1.0)</f>
        <v>1</v>
      </c>
      <c r="M52" s="8">
        <f>IFERROR(__xludf.DUMMYFUNCTION("""COMPUTED_VALUE"""),0.0)</f>
        <v>0</v>
      </c>
      <c r="N52" s="8">
        <f>IFERROR(__xludf.DUMMYFUNCTION("""COMPUTED_VALUE"""),23.0)</f>
        <v>23</v>
      </c>
      <c r="O52" s="8"/>
      <c r="P52" s="8"/>
      <c r="Q52" s="8"/>
      <c r="R52" s="8"/>
      <c r="S52" s="8"/>
      <c r="T52" s="8"/>
      <c r="U52" s="8"/>
      <c r="V52" s="8"/>
      <c r="W52" s="8"/>
      <c r="X52" s="8"/>
      <c r="Y52" s="8"/>
      <c r="Z52" s="8"/>
    </row>
    <row r="53">
      <c r="A53" s="8">
        <f>IFERROR(__xludf.DUMMYFUNCTION("""COMPUTED_VALUE"""),53.0)</f>
        <v>53</v>
      </c>
      <c r="B53" s="8" t="str">
        <f>IFERROR(__xludf.DUMMYFUNCTION("""COMPUTED_VALUE"""),"cashew")</f>
        <v>cashew</v>
      </c>
      <c r="C53" s="8" t="str">
        <f>IFERROR(__xludf.DUMMYFUNCTION("""COMPUTED_VALUE"""),"graft")</f>
        <v>graft</v>
      </c>
      <c r="D53" s="55" t="str">
        <f>IFERROR(__xludf.DUMMYFUNCTION("""COMPUTED_VALUE"""),"Anacardium occidentale")</f>
        <v>Anacardium occidentale</v>
      </c>
      <c r="E53" s="8" t="str">
        <f>IFERROR(__xludf.DUMMYFUNCTION("""COMPUTED_VALUE"""),"Z330 (Orange)")</f>
        <v>Z330 (Orange)</v>
      </c>
      <c r="F53" s="8" t="str">
        <f>IFERROR(__xludf.DUMMYFUNCTION("""COMPUTED_VALUE"""),"Cashew")</f>
        <v>Cashew</v>
      </c>
      <c r="G53" s="8" t="str">
        <f>IFERROR(__xludf.DUMMYFUNCTION("""COMPUTED_VALUE"""),"Anacardier")</f>
        <v>Anacardier</v>
      </c>
      <c r="H53" s="8" t="str">
        <f>IFERROR(__xludf.DUMMYFUNCTION("""COMPUTED_VALUE"""),"graft")</f>
        <v>graft</v>
      </c>
      <c r="I53" s="8" t="str">
        <f>IFERROR(__xludf.DUMMYFUNCTION("""COMPUTED_VALUE"""),"C053")</f>
        <v>C053</v>
      </c>
      <c r="J53" s="8" t="str">
        <f>IFERROR(__xludf.DUMMYFUNCTION("""COMPUTED_VALUE"""),"05N06")</f>
        <v>05N06</v>
      </c>
      <c r="K53" s="8"/>
      <c r="L53" s="8">
        <f>IFERROR(__xludf.DUMMYFUNCTION("""COMPUTED_VALUE"""),1.0)</f>
        <v>1</v>
      </c>
      <c r="M53" s="8">
        <f>IFERROR(__xludf.DUMMYFUNCTION("""COMPUTED_VALUE"""),0.0)</f>
        <v>0</v>
      </c>
      <c r="N53" s="8">
        <f>IFERROR(__xludf.DUMMYFUNCTION("""COMPUTED_VALUE"""),23.0)</f>
        <v>23</v>
      </c>
      <c r="O53" s="8"/>
      <c r="P53" s="8"/>
      <c r="Q53" s="8"/>
      <c r="R53" s="8"/>
      <c r="S53" s="8"/>
      <c r="T53" s="8"/>
      <c r="U53" s="8"/>
      <c r="V53" s="8"/>
      <c r="W53" s="8"/>
      <c r="X53" s="8"/>
      <c r="Y53" s="8"/>
      <c r="Z53" s="8"/>
    </row>
    <row r="54">
      <c r="A54" s="8">
        <f>IFERROR(__xludf.DUMMYFUNCTION("""COMPUTED_VALUE"""),54.0)</f>
        <v>54</v>
      </c>
      <c r="B54" s="8" t="str">
        <f>IFERROR(__xludf.DUMMYFUNCTION("""COMPUTED_VALUE"""),"cashew")</f>
        <v>cashew</v>
      </c>
      <c r="C54" s="8" t="str">
        <f>IFERROR(__xludf.DUMMYFUNCTION("""COMPUTED_VALUE"""),"graft")</f>
        <v>graft</v>
      </c>
      <c r="D54" s="55" t="str">
        <f>IFERROR(__xludf.DUMMYFUNCTION("""COMPUTED_VALUE"""),"Anacardium occidentale")</f>
        <v>Anacardium occidentale</v>
      </c>
      <c r="E54" s="8" t="str">
        <f>IFERROR(__xludf.DUMMYFUNCTION("""COMPUTED_VALUE"""),"X3264 (Yellow)")</f>
        <v>X3264 (Yellow)</v>
      </c>
      <c r="F54" s="8" t="str">
        <f>IFERROR(__xludf.DUMMYFUNCTION("""COMPUTED_VALUE"""),"Cashew")</f>
        <v>Cashew</v>
      </c>
      <c r="G54" s="8" t="str">
        <f>IFERROR(__xludf.DUMMYFUNCTION("""COMPUTED_VALUE"""),"Anacardier")</f>
        <v>Anacardier</v>
      </c>
      <c r="H54" s="8" t="str">
        <f>IFERROR(__xludf.DUMMYFUNCTION("""COMPUTED_VALUE"""),"graft")</f>
        <v>graft</v>
      </c>
      <c r="I54" s="8" t="str">
        <f>IFERROR(__xludf.DUMMYFUNCTION("""COMPUTED_VALUE"""),"C054")</f>
        <v>C054</v>
      </c>
      <c r="J54" s="8" t="str">
        <f>IFERROR(__xludf.DUMMYFUNCTION("""COMPUTED_VALUE"""),"05N07")</f>
        <v>05N07</v>
      </c>
      <c r="K54" s="8"/>
      <c r="L54" s="8">
        <f>IFERROR(__xludf.DUMMYFUNCTION("""COMPUTED_VALUE"""),1.0)</f>
        <v>1</v>
      </c>
      <c r="M54" s="8">
        <f>IFERROR(__xludf.DUMMYFUNCTION("""COMPUTED_VALUE"""),0.0)</f>
        <v>0</v>
      </c>
      <c r="N54" s="8">
        <f>IFERROR(__xludf.DUMMYFUNCTION("""COMPUTED_VALUE"""),20.0)</f>
        <v>20</v>
      </c>
      <c r="O54" s="8"/>
      <c r="P54" s="8"/>
      <c r="Q54" s="8"/>
      <c r="R54" s="8"/>
      <c r="S54" s="8"/>
      <c r="T54" s="8"/>
      <c r="U54" s="8"/>
      <c r="V54" s="8"/>
      <c r="W54" s="8"/>
      <c r="X54" s="8"/>
      <c r="Y54" s="8"/>
      <c r="Z54" s="8"/>
    </row>
    <row r="55">
      <c r="A55" s="8">
        <f>IFERROR(__xludf.DUMMYFUNCTION("""COMPUTED_VALUE"""),55.0)</f>
        <v>55</v>
      </c>
      <c r="B55" s="8" t="str">
        <f>IFERROR(__xludf.DUMMYFUNCTION("""COMPUTED_VALUE"""),"cashew")</f>
        <v>cashew</v>
      </c>
      <c r="C55" s="8" t="str">
        <f>IFERROR(__xludf.DUMMYFUNCTION("""COMPUTED_VALUE"""),"graft")</f>
        <v>graft</v>
      </c>
      <c r="D55" s="55" t="str">
        <f>IFERROR(__xludf.DUMMYFUNCTION("""COMPUTED_VALUE"""),"Anacardium occidentale")</f>
        <v>Anacardium occidentale</v>
      </c>
      <c r="E55" s="8" t="str">
        <f>IFERROR(__xludf.DUMMYFUNCTION("""COMPUTED_VALUE"""),"X3264 (Yellow)")</f>
        <v>X3264 (Yellow)</v>
      </c>
      <c r="F55" s="8" t="str">
        <f>IFERROR(__xludf.DUMMYFUNCTION("""COMPUTED_VALUE"""),"Cashew")</f>
        <v>Cashew</v>
      </c>
      <c r="G55" s="8" t="str">
        <f>IFERROR(__xludf.DUMMYFUNCTION("""COMPUTED_VALUE"""),"Anacardier")</f>
        <v>Anacardier</v>
      </c>
      <c r="H55" s="8" t="str">
        <f>IFERROR(__xludf.DUMMYFUNCTION("""COMPUTED_VALUE"""),"graft")</f>
        <v>graft</v>
      </c>
      <c r="I55" s="8" t="str">
        <f>IFERROR(__xludf.DUMMYFUNCTION("""COMPUTED_VALUE"""),"C055")</f>
        <v>C055</v>
      </c>
      <c r="J55" s="8" t="str">
        <f>IFERROR(__xludf.DUMMYFUNCTION("""COMPUTED_VALUE"""),"05N08")</f>
        <v>05N08</v>
      </c>
      <c r="K55" s="8"/>
      <c r="L55" s="8">
        <f>IFERROR(__xludf.DUMMYFUNCTION("""COMPUTED_VALUE"""),1.0)</f>
        <v>1</v>
      </c>
      <c r="M55" s="8">
        <f>IFERROR(__xludf.DUMMYFUNCTION("""COMPUTED_VALUE"""),0.0)</f>
        <v>0</v>
      </c>
      <c r="N55" s="8">
        <f>IFERROR(__xludf.DUMMYFUNCTION("""COMPUTED_VALUE"""),20.0)</f>
        <v>20</v>
      </c>
      <c r="O55" s="8"/>
      <c r="P55" s="8"/>
      <c r="Q55" s="8"/>
      <c r="R55" s="8"/>
      <c r="S55" s="8"/>
      <c r="T55" s="8"/>
      <c r="U55" s="8"/>
      <c r="V55" s="8"/>
      <c r="W55" s="8"/>
      <c r="X55" s="8"/>
      <c r="Y55" s="8"/>
      <c r="Z55" s="8"/>
    </row>
    <row r="56">
      <c r="A56" s="8">
        <f>IFERROR(__xludf.DUMMYFUNCTION("""COMPUTED_VALUE"""),56.0)</f>
        <v>56</v>
      </c>
      <c r="B56" s="8" t="str">
        <f>IFERROR(__xludf.DUMMYFUNCTION("""COMPUTED_VALUE"""),"cashew")</f>
        <v>cashew</v>
      </c>
      <c r="C56" s="8" t="str">
        <f>IFERROR(__xludf.DUMMYFUNCTION("""COMPUTED_VALUE"""),"graft")</f>
        <v>graft</v>
      </c>
      <c r="D56" s="55" t="str">
        <f>IFERROR(__xludf.DUMMYFUNCTION("""COMPUTED_VALUE"""),"Anacardium occidentale")</f>
        <v>Anacardium occidentale</v>
      </c>
      <c r="E56" s="8" t="str">
        <f>IFERROR(__xludf.DUMMYFUNCTION("""COMPUTED_VALUE"""),"X3264 (Yellow)")</f>
        <v>X3264 (Yellow)</v>
      </c>
      <c r="F56" s="8" t="str">
        <f>IFERROR(__xludf.DUMMYFUNCTION("""COMPUTED_VALUE"""),"Cashew")</f>
        <v>Cashew</v>
      </c>
      <c r="G56" s="8" t="str">
        <f>IFERROR(__xludf.DUMMYFUNCTION("""COMPUTED_VALUE"""),"Anacardier")</f>
        <v>Anacardier</v>
      </c>
      <c r="H56" s="8" t="str">
        <f>IFERROR(__xludf.DUMMYFUNCTION("""COMPUTED_VALUE"""),"graft")</f>
        <v>graft</v>
      </c>
      <c r="I56" s="8" t="str">
        <f>IFERROR(__xludf.DUMMYFUNCTION("""COMPUTED_VALUE"""),"C056")</f>
        <v>C056</v>
      </c>
      <c r="J56" s="8" t="str">
        <f>IFERROR(__xludf.DUMMYFUNCTION("""COMPUTED_VALUE"""),"05N09")</f>
        <v>05N09</v>
      </c>
      <c r="K56" s="8"/>
      <c r="L56" s="8">
        <f>IFERROR(__xludf.DUMMYFUNCTION("""COMPUTED_VALUE"""),1.0)</f>
        <v>1</v>
      </c>
      <c r="M56" s="8">
        <f>IFERROR(__xludf.DUMMYFUNCTION("""COMPUTED_VALUE"""),0.0)</f>
        <v>0</v>
      </c>
      <c r="N56" s="8">
        <f>IFERROR(__xludf.DUMMYFUNCTION("""COMPUTED_VALUE"""),20.0)</f>
        <v>20</v>
      </c>
      <c r="O56" s="8"/>
      <c r="P56" s="8"/>
      <c r="Q56" s="8"/>
      <c r="R56" s="8"/>
      <c r="S56" s="8"/>
      <c r="T56" s="8"/>
      <c r="U56" s="8"/>
      <c r="V56" s="8"/>
      <c r="W56" s="8"/>
      <c r="X56" s="8"/>
      <c r="Y56" s="8"/>
      <c r="Z56" s="8"/>
    </row>
    <row r="57">
      <c r="A57" s="8">
        <f>IFERROR(__xludf.DUMMYFUNCTION("""COMPUTED_VALUE"""),57.0)</f>
        <v>57</v>
      </c>
      <c r="B57" s="8" t="str">
        <f>IFERROR(__xludf.DUMMYFUNCTION("""COMPUTED_VALUE"""),"cashew")</f>
        <v>cashew</v>
      </c>
      <c r="C57" s="8" t="str">
        <f>IFERROR(__xludf.DUMMYFUNCTION("""COMPUTED_VALUE"""),"graft")</f>
        <v>graft</v>
      </c>
      <c r="D57" s="55" t="str">
        <f>IFERROR(__xludf.DUMMYFUNCTION("""COMPUTED_VALUE"""),"Anacardium occidentale")</f>
        <v>Anacardium occidentale</v>
      </c>
      <c r="E57" s="8" t="str">
        <f>IFERROR(__xludf.DUMMYFUNCTION("""COMPUTED_VALUE"""),"X3264 (Yellow)")</f>
        <v>X3264 (Yellow)</v>
      </c>
      <c r="F57" s="8" t="str">
        <f>IFERROR(__xludf.DUMMYFUNCTION("""COMPUTED_VALUE"""),"Cashew")</f>
        <v>Cashew</v>
      </c>
      <c r="G57" s="8" t="str">
        <f>IFERROR(__xludf.DUMMYFUNCTION("""COMPUTED_VALUE"""),"Anacardier")</f>
        <v>Anacardier</v>
      </c>
      <c r="H57" s="8" t="str">
        <f>IFERROR(__xludf.DUMMYFUNCTION("""COMPUTED_VALUE"""),"graft")</f>
        <v>graft</v>
      </c>
      <c r="I57" s="8" t="str">
        <f>IFERROR(__xludf.DUMMYFUNCTION("""COMPUTED_VALUE"""),"C057")</f>
        <v>C057</v>
      </c>
      <c r="J57" s="8" t="str">
        <f>IFERROR(__xludf.DUMMYFUNCTION("""COMPUTED_VALUE"""),"05N10")</f>
        <v>05N10</v>
      </c>
      <c r="K57" s="8"/>
      <c r="L57" s="8">
        <f>IFERROR(__xludf.DUMMYFUNCTION("""COMPUTED_VALUE"""),1.0)</f>
        <v>1</v>
      </c>
      <c r="M57" s="8">
        <f>IFERROR(__xludf.DUMMYFUNCTION("""COMPUTED_VALUE"""),0.0)</f>
        <v>0</v>
      </c>
      <c r="N57" s="8">
        <f>IFERROR(__xludf.DUMMYFUNCTION("""COMPUTED_VALUE"""),20.0)</f>
        <v>20</v>
      </c>
      <c r="O57" s="8"/>
      <c r="P57" s="8"/>
      <c r="Q57" s="8"/>
      <c r="R57" s="8"/>
      <c r="S57" s="8"/>
      <c r="T57" s="8"/>
      <c r="U57" s="8"/>
      <c r="V57" s="8"/>
      <c r="W57" s="8"/>
      <c r="X57" s="8"/>
      <c r="Y57" s="8"/>
      <c r="Z57" s="8"/>
    </row>
    <row r="58">
      <c r="A58" s="8">
        <f>IFERROR(__xludf.DUMMYFUNCTION("""COMPUTED_VALUE"""),58.0)</f>
        <v>58</v>
      </c>
      <c r="B58" s="8" t="str">
        <f>IFERROR(__xludf.DUMMYFUNCTION("""COMPUTED_VALUE"""),"cashew")</f>
        <v>cashew</v>
      </c>
      <c r="C58" s="8" t="str">
        <f>IFERROR(__xludf.DUMMYFUNCTION("""COMPUTED_VALUE"""),"graft")</f>
        <v>graft</v>
      </c>
      <c r="D58" s="55" t="str">
        <f>IFERROR(__xludf.DUMMYFUNCTION("""COMPUTED_VALUE"""),"Anacardium occidentale")</f>
        <v>Anacardium occidentale</v>
      </c>
      <c r="E58" s="8" t="str">
        <f>IFERROR(__xludf.DUMMYFUNCTION("""COMPUTED_VALUE"""),"X3264 (Yellow)")</f>
        <v>X3264 (Yellow)</v>
      </c>
      <c r="F58" s="8" t="str">
        <f>IFERROR(__xludf.DUMMYFUNCTION("""COMPUTED_VALUE"""),"Cashew")</f>
        <v>Cashew</v>
      </c>
      <c r="G58" s="8" t="str">
        <f>IFERROR(__xludf.DUMMYFUNCTION("""COMPUTED_VALUE"""),"Anacardier")</f>
        <v>Anacardier</v>
      </c>
      <c r="H58" s="8" t="str">
        <f>IFERROR(__xludf.DUMMYFUNCTION("""COMPUTED_VALUE"""),"graft")</f>
        <v>graft</v>
      </c>
      <c r="I58" s="8" t="str">
        <f>IFERROR(__xludf.DUMMYFUNCTION("""COMPUTED_VALUE"""),"C058")</f>
        <v>C058</v>
      </c>
      <c r="J58" s="8" t="str">
        <f>IFERROR(__xludf.DUMMYFUNCTION("""COMPUTED_VALUE"""),"05N11")</f>
        <v>05N11</v>
      </c>
      <c r="K58" s="8"/>
      <c r="L58" s="8">
        <f>IFERROR(__xludf.DUMMYFUNCTION("""COMPUTED_VALUE"""),1.0)</f>
        <v>1</v>
      </c>
      <c r="M58" s="8">
        <f>IFERROR(__xludf.DUMMYFUNCTION("""COMPUTED_VALUE"""),0.0)</f>
        <v>0</v>
      </c>
      <c r="N58" s="8">
        <f>IFERROR(__xludf.DUMMYFUNCTION("""COMPUTED_VALUE"""),20.0)</f>
        <v>20</v>
      </c>
      <c r="O58" s="8"/>
      <c r="P58" s="8"/>
      <c r="Q58" s="8"/>
      <c r="R58" s="8"/>
      <c r="S58" s="8"/>
      <c r="T58" s="8"/>
      <c r="U58" s="8"/>
      <c r="V58" s="8"/>
      <c r="W58" s="8"/>
      <c r="X58" s="8"/>
      <c r="Y58" s="8"/>
      <c r="Z58" s="8"/>
    </row>
    <row r="59">
      <c r="A59" s="8">
        <f>IFERROR(__xludf.DUMMYFUNCTION("""COMPUTED_VALUE"""),59.0)</f>
        <v>59</v>
      </c>
      <c r="B59" s="8" t="str">
        <f>IFERROR(__xludf.DUMMYFUNCTION("""COMPUTED_VALUE"""),"cashew")</f>
        <v>cashew</v>
      </c>
      <c r="C59" s="8" t="str">
        <f>IFERROR(__xludf.DUMMYFUNCTION("""COMPUTED_VALUE"""),"graft")</f>
        <v>graft</v>
      </c>
      <c r="D59" s="55" t="str">
        <f>IFERROR(__xludf.DUMMYFUNCTION("""COMPUTED_VALUE"""),"Anacardium occidentale")</f>
        <v>Anacardium occidentale</v>
      </c>
      <c r="E59" s="8" t="str">
        <f>IFERROR(__xludf.DUMMYFUNCTION("""COMPUTED_VALUE"""),"X3264 (Yellow)")</f>
        <v>X3264 (Yellow)</v>
      </c>
      <c r="F59" s="8" t="str">
        <f>IFERROR(__xludf.DUMMYFUNCTION("""COMPUTED_VALUE"""),"Cashew")</f>
        <v>Cashew</v>
      </c>
      <c r="G59" s="8" t="str">
        <f>IFERROR(__xludf.DUMMYFUNCTION("""COMPUTED_VALUE"""),"Anacardier")</f>
        <v>Anacardier</v>
      </c>
      <c r="H59" s="8" t="str">
        <f>IFERROR(__xludf.DUMMYFUNCTION("""COMPUTED_VALUE"""),"graft")</f>
        <v>graft</v>
      </c>
      <c r="I59" s="8" t="str">
        <f>IFERROR(__xludf.DUMMYFUNCTION("""COMPUTED_VALUE"""),"C059")</f>
        <v>C059</v>
      </c>
      <c r="J59" s="8" t="str">
        <f>IFERROR(__xludf.DUMMYFUNCTION("""COMPUTED_VALUE"""),"05N12")</f>
        <v>05N12</v>
      </c>
      <c r="K59" s="8"/>
      <c r="L59" s="8">
        <f>IFERROR(__xludf.DUMMYFUNCTION("""COMPUTED_VALUE"""),1.0)</f>
        <v>1</v>
      </c>
      <c r="M59" s="8">
        <f>IFERROR(__xludf.DUMMYFUNCTION("""COMPUTED_VALUE"""),0.0)</f>
        <v>0</v>
      </c>
      <c r="N59" s="8">
        <f>IFERROR(__xludf.DUMMYFUNCTION("""COMPUTED_VALUE"""),20.0)</f>
        <v>20</v>
      </c>
      <c r="O59" s="8"/>
      <c r="P59" s="8"/>
      <c r="Q59" s="8"/>
      <c r="R59" s="8"/>
      <c r="S59" s="8"/>
      <c r="T59" s="8"/>
      <c r="U59" s="8"/>
      <c r="V59" s="8"/>
      <c r="W59" s="8"/>
      <c r="X59" s="8"/>
      <c r="Y59" s="8"/>
      <c r="Z59" s="8"/>
    </row>
    <row r="60">
      <c r="A60" s="8">
        <f>IFERROR(__xludf.DUMMYFUNCTION("""COMPUTED_VALUE"""),60.0)</f>
        <v>60</v>
      </c>
      <c r="B60" s="8" t="str">
        <f>IFERROR(__xludf.DUMMYFUNCTION("""COMPUTED_VALUE"""),"cashew")</f>
        <v>cashew</v>
      </c>
      <c r="C60" s="8" t="str">
        <f>IFERROR(__xludf.DUMMYFUNCTION("""COMPUTED_VALUE"""),"graft")</f>
        <v>graft</v>
      </c>
      <c r="D60" s="55" t="str">
        <f>IFERROR(__xludf.DUMMYFUNCTION("""COMPUTED_VALUE"""),"Anacardium occidentale")</f>
        <v>Anacardium occidentale</v>
      </c>
      <c r="E60" s="8" t="str">
        <f>IFERROR(__xludf.DUMMYFUNCTION("""COMPUTED_VALUE"""),"X3264 (Yellow)")</f>
        <v>X3264 (Yellow)</v>
      </c>
      <c r="F60" s="8" t="str">
        <f>IFERROR(__xludf.DUMMYFUNCTION("""COMPUTED_VALUE"""),"Cashew")</f>
        <v>Cashew</v>
      </c>
      <c r="G60" s="8" t="str">
        <f>IFERROR(__xludf.DUMMYFUNCTION("""COMPUTED_VALUE"""),"Anacardier")</f>
        <v>Anacardier</v>
      </c>
      <c r="H60" s="8" t="str">
        <f>IFERROR(__xludf.DUMMYFUNCTION("""COMPUTED_VALUE"""),"graft")</f>
        <v>graft</v>
      </c>
      <c r="I60" s="8" t="str">
        <f>IFERROR(__xludf.DUMMYFUNCTION("""COMPUTED_VALUE"""),"C060")</f>
        <v>C060</v>
      </c>
      <c r="J60" s="8" t="str">
        <f>IFERROR(__xludf.DUMMYFUNCTION("""COMPUTED_VALUE"""),"06N01")</f>
        <v>06N01</v>
      </c>
      <c r="K60" s="8"/>
      <c r="L60" s="8">
        <f>IFERROR(__xludf.DUMMYFUNCTION("""COMPUTED_VALUE"""),1.0)</f>
        <v>1</v>
      </c>
      <c r="M60" s="8">
        <f>IFERROR(__xludf.DUMMYFUNCTION("""COMPUTED_VALUE"""),0.0)</f>
        <v>0</v>
      </c>
      <c r="N60" s="8">
        <f>IFERROR(__xludf.DUMMYFUNCTION("""COMPUTED_VALUE"""),20.0)</f>
        <v>20</v>
      </c>
      <c r="O60" s="8"/>
      <c r="P60" s="8"/>
      <c r="Q60" s="8"/>
      <c r="R60" s="8"/>
      <c r="S60" s="8"/>
      <c r="T60" s="8"/>
      <c r="U60" s="8"/>
      <c r="V60" s="8"/>
      <c r="W60" s="8"/>
      <c r="X60" s="8"/>
      <c r="Y60" s="8"/>
      <c r="Z60" s="8"/>
    </row>
    <row r="61">
      <c r="A61" s="8">
        <f>IFERROR(__xludf.DUMMYFUNCTION("""COMPUTED_VALUE"""),61.0)</f>
        <v>61</v>
      </c>
      <c r="B61" s="8" t="str">
        <f>IFERROR(__xludf.DUMMYFUNCTION("""COMPUTED_VALUE"""),"cashew")</f>
        <v>cashew</v>
      </c>
      <c r="C61" s="8" t="str">
        <f>IFERROR(__xludf.DUMMYFUNCTION("""COMPUTED_VALUE"""),"graft")</f>
        <v>graft</v>
      </c>
      <c r="D61" s="55" t="str">
        <f>IFERROR(__xludf.DUMMYFUNCTION("""COMPUTED_VALUE"""),"Anacardium occidentale")</f>
        <v>Anacardium occidentale</v>
      </c>
      <c r="E61" s="8" t="str">
        <f>IFERROR(__xludf.DUMMYFUNCTION("""COMPUTED_VALUE"""),"X3264 (Yellow)")</f>
        <v>X3264 (Yellow)</v>
      </c>
      <c r="F61" s="8" t="str">
        <f>IFERROR(__xludf.DUMMYFUNCTION("""COMPUTED_VALUE"""),"Cashew")</f>
        <v>Cashew</v>
      </c>
      <c r="G61" s="8" t="str">
        <f>IFERROR(__xludf.DUMMYFUNCTION("""COMPUTED_VALUE"""),"Anacardier")</f>
        <v>Anacardier</v>
      </c>
      <c r="H61" s="8" t="str">
        <f>IFERROR(__xludf.DUMMYFUNCTION("""COMPUTED_VALUE"""),"graft")</f>
        <v>graft</v>
      </c>
      <c r="I61" s="8" t="str">
        <f>IFERROR(__xludf.DUMMYFUNCTION("""COMPUTED_VALUE"""),"C061")</f>
        <v>C061</v>
      </c>
      <c r="J61" s="8" t="str">
        <f>IFERROR(__xludf.DUMMYFUNCTION("""COMPUTED_VALUE"""),"06N02")</f>
        <v>06N02</v>
      </c>
      <c r="K61" s="8"/>
      <c r="L61" s="8">
        <f>IFERROR(__xludf.DUMMYFUNCTION("""COMPUTED_VALUE"""),1.0)</f>
        <v>1</v>
      </c>
      <c r="M61" s="8">
        <f>IFERROR(__xludf.DUMMYFUNCTION("""COMPUTED_VALUE"""),0.0)</f>
        <v>0</v>
      </c>
      <c r="N61" s="8">
        <f>IFERROR(__xludf.DUMMYFUNCTION("""COMPUTED_VALUE"""),20.0)</f>
        <v>20</v>
      </c>
      <c r="O61" s="8"/>
      <c r="P61" s="8"/>
      <c r="Q61" s="8"/>
      <c r="R61" s="8"/>
      <c r="S61" s="8"/>
      <c r="T61" s="8"/>
      <c r="U61" s="8"/>
      <c r="V61" s="8"/>
      <c r="W61" s="8"/>
      <c r="X61" s="8"/>
      <c r="Y61" s="8"/>
      <c r="Z61" s="8"/>
    </row>
    <row r="62">
      <c r="A62" s="8">
        <f>IFERROR(__xludf.DUMMYFUNCTION("""COMPUTED_VALUE"""),62.0)</f>
        <v>62</v>
      </c>
      <c r="B62" s="8" t="str">
        <f>IFERROR(__xludf.DUMMYFUNCTION("""COMPUTED_VALUE"""),"cashew")</f>
        <v>cashew</v>
      </c>
      <c r="C62" s="8" t="str">
        <f>IFERROR(__xludf.DUMMYFUNCTION("""COMPUTED_VALUE"""),"graft")</f>
        <v>graft</v>
      </c>
      <c r="D62" s="55" t="str">
        <f>IFERROR(__xludf.DUMMYFUNCTION("""COMPUTED_VALUE"""),"Anacardium occidentale")</f>
        <v>Anacardium occidentale</v>
      </c>
      <c r="E62" s="8" t="str">
        <f>IFERROR(__xludf.DUMMYFUNCTION("""COMPUTED_VALUE"""),"X3264 (Yellow)")</f>
        <v>X3264 (Yellow)</v>
      </c>
      <c r="F62" s="8" t="str">
        <f>IFERROR(__xludf.DUMMYFUNCTION("""COMPUTED_VALUE"""),"Cashew")</f>
        <v>Cashew</v>
      </c>
      <c r="G62" s="8" t="str">
        <f>IFERROR(__xludf.DUMMYFUNCTION("""COMPUTED_VALUE"""),"Anacardier")</f>
        <v>Anacardier</v>
      </c>
      <c r="H62" s="8" t="str">
        <f>IFERROR(__xludf.DUMMYFUNCTION("""COMPUTED_VALUE"""),"graft")</f>
        <v>graft</v>
      </c>
      <c r="I62" s="8" t="str">
        <f>IFERROR(__xludf.DUMMYFUNCTION("""COMPUTED_VALUE"""),"C062")</f>
        <v>C062</v>
      </c>
      <c r="J62" s="8" t="str">
        <f>IFERROR(__xludf.DUMMYFUNCTION("""COMPUTED_VALUE"""),"06N03")</f>
        <v>06N03</v>
      </c>
      <c r="K62" s="8"/>
      <c r="L62" s="8">
        <f>IFERROR(__xludf.DUMMYFUNCTION("""COMPUTED_VALUE"""),1.0)</f>
        <v>1</v>
      </c>
      <c r="M62" s="8">
        <f>IFERROR(__xludf.DUMMYFUNCTION("""COMPUTED_VALUE"""),0.0)</f>
        <v>0</v>
      </c>
      <c r="N62" s="8">
        <f>IFERROR(__xludf.DUMMYFUNCTION("""COMPUTED_VALUE"""),20.0)</f>
        <v>20</v>
      </c>
      <c r="O62" s="8"/>
      <c r="P62" s="8"/>
      <c r="Q62" s="8"/>
      <c r="R62" s="8"/>
      <c r="S62" s="8"/>
      <c r="T62" s="8"/>
      <c r="U62" s="8"/>
      <c r="V62" s="8"/>
      <c r="W62" s="8"/>
      <c r="X62" s="8"/>
      <c r="Y62" s="8"/>
      <c r="Z62" s="8"/>
    </row>
    <row r="63">
      <c r="A63" s="8">
        <f>IFERROR(__xludf.DUMMYFUNCTION("""COMPUTED_VALUE"""),63.0)</f>
        <v>63</v>
      </c>
      <c r="B63" s="8" t="str">
        <f>IFERROR(__xludf.DUMMYFUNCTION("""COMPUTED_VALUE"""),"cashew")</f>
        <v>cashew</v>
      </c>
      <c r="C63" s="8" t="str">
        <f>IFERROR(__xludf.DUMMYFUNCTION("""COMPUTED_VALUE"""),"graft")</f>
        <v>graft</v>
      </c>
      <c r="D63" s="55" t="str">
        <f>IFERROR(__xludf.DUMMYFUNCTION("""COMPUTED_VALUE"""),"Anacardium occidentale")</f>
        <v>Anacardium occidentale</v>
      </c>
      <c r="E63" s="8" t="str">
        <f>IFERROR(__xludf.DUMMYFUNCTION("""COMPUTED_VALUE"""),"X3264 (Yellow)")</f>
        <v>X3264 (Yellow)</v>
      </c>
      <c r="F63" s="8" t="str">
        <f>IFERROR(__xludf.DUMMYFUNCTION("""COMPUTED_VALUE"""),"Cashew")</f>
        <v>Cashew</v>
      </c>
      <c r="G63" s="8" t="str">
        <f>IFERROR(__xludf.DUMMYFUNCTION("""COMPUTED_VALUE"""),"Anacardier")</f>
        <v>Anacardier</v>
      </c>
      <c r="H63" s="8" t="str">
        <f>IFERROR(__xludf.DUMMYFUNCTION("""COMPUTED_VALUE"""),"graft")</f>
        <v>graft</v>
      </c>
      <c r="I63" s="8" t="str">
        <f>IFERROR(__xludf.DUMMYFUNCTION("""COMPUTED_VALUE"""),"C063")</f>
        <v>C063</v>
      </c>
      <c r="J63" s="8" t="str">
        <f>IFERROR(__xludf.DUMMYFUNCTION("""COMPUTED_VALUE"""),"06N04")</f>
        <v>06N04</v>
      </c>
      <c r="K63" s="8"/>
      <c r="L63" s="8">
        <f>IFERROR(__xludf.DUMMYFUNCTION("""COMPUTED_VALUE"""),1.0)</f>
        <v>1</v>
      </c>
      <c r="M63" s="8">
        <f>IFERROR(__xludf.DUMMYFUNCTION("""COMPUTED_VALUE"""),0.0)</f>
        <v>0</v>
      </c>
      <c r="N63" s="8">
        <f>IFERROR(__xludf.DUMMYFUNCTION("""COMPUTED_VALUE"""),20.0)</f>
        <v>20</v>
      </c>
      <c r="O63" s="8"/>
      <c r="P63" s="8"/>
      <c r="Q63" s="8"/>
      <c r="R63" s="8"/>
      <c r="S63" s="8"/>
      <c r="T63" s="8"/>
      <c r="U63" s="8"/>
      <c r="V63" s="8"/>
      <c r="W63" s="8"/>
      <c r="X63" s="8"/>
      <c r="Y63" s="8"/>
      <c r="Z63" s="8"/>
    </row>
    <row r="64">
      <c r="A64" s="8">
        <f>IFERROR(__xludf.DUMMYFUNCTION("""COMPUTED_VALUE"""),64.0)</f>
        <v>64</v>
      </c>
      <c r="B64" s="8" t="str">
        <f>IFERROR(__xludf.DUMMYFUNCTION("""COMPUTED_VALUE"""),"cashew")</f>
        <v>cashew</v>
      </c>
      <c r="C64" s="8" t="str">
        <f>IFERROR(__xludf.DUMMYFUNCTION("""COMPUTED_VALUE"""),"graft")</f>
        <v>graft</v>
      </c>
      <c r="D64" s="55" t="str">
        <f>IFERROR(__xludf.DUMMYFUNCTION("""COMPUTED_VALUE"""),"Anacardium occidentale")</f>
        <v>Anacardium occidentale</v>
      </c>
      <c r="E64" s="8" t="str">
        <f>IFERROR(__xludf.DUMMYFUNCTION("""COMPUTED_VALUE"""),"X3264 (Yellow)")</f>
        <v>X3264 (Yellow)</v>
      </c>
      <c r="F64" s="8" t="str">
        <f>IFERROR(__xludf.DUMMYFUNCTION("""COMPUTED_VALUE"""),"Cashew")</f>
        <v>Cashew</v>
      </c>
      <c r="G64" s="8" t="str">
        <f>IFERROR(__xludf.DUMMYFUNCTION("""COMPUTED_VALUE"""),"Anacardier")</f>
        <v>Anacardier</v>
      </c>
      <c r="H64" s="8" t="str">
        <f>IFERROR(__xludf.DUMMYFUNCTION("""COMPUTED_VALUE"""),"graft")</f>
        <v>graft</v>
      </c>
      <c r="I64" s="8" t="str">
        <f>IFERROR(__xludf.DUMMYFUNCTION("""COMPUTED_VALUE"""),"C064")</f>
        <v>C064</v>
      </c>
      <c r="J64" s="8" t="str">
        <f>IFERROR(__xludf.DUMMYFUNCTION("""COMPUTED_VALUE"""),"06N05")</f>
        <v>06N05</v>
      </c>
      <c r="K64" s="8"/>
      <c r="L64" s="8">
        <f>IFERROR(__xludf.DUMMYFUNCTION("""COMPUTED_VALUE"""),1.0)</f>
        <v>1</v>
      </c>
      <c r="M64" s="8">
        <f>IFERROR(__xludf.DUMMYFUNCTION("""COMPUTED_VALUE"""),0.0)</f>
        <v>0</v>
      </c>
      <c r="N64" s="8">
        <f>IFERROR(__xludf.DUMMYFUNCTION("""COMPUTED_VALUE"""),20.0)</f>
        <v>20</v>
      </c>
      <c r="O64" s="8"/>
      <c r="P64" s="8"/>
      <c r="Q64" s="8"/>
      <c r="R64" s="8"/>
      <c r="S64" s="8"/>
      <c r="T64" s="8"/>
      <c r="U64" s="8"/>
      <c r="V64" s="8"/>
      <c r="W64" s="8"/>
      <c r="X64" s="8"/>
      <c r="Y64" s="8"/>
      <c r="Z64" s="8"/>
    </row>
    <row r="65">
      <c r="A65" s="8">
        <f>IFERROR(__xludf.DUMMYFUNCTION("""COMPUTED_VALUE"""),65.0)</f>
        <v>65</v>
      </c>
      <c r="B65" s="8" t="str">
        <f>IFERROR(__xludf.DUMMYFUNCTION("""COMPUTED_VALUE"""),"cashew")</f>
        <v>cashew</v>
      </c>
      <c r="C65" s="8" t="str">
        <f>IFERROR(__xludf.DUMMYFUNCTION("""COMPUTED_VALUE"""),"graft")</f>
        <v>graft</v>
      </c>
      <c r="D65" s="55" t="str">
        <f>IFERROR(__xludf.DUMMYFUNCTION("""COMPUTED_VALUE"""),"Anacardium occidentale")</f>
        <v>Anacardium occidentale</v>
      </c>
      <c r="E65" s="8" t="str">
        <f>IFERROR(__xludf.DUMMYFUNCTION("""COMPUTED_VALUE"""),"X3264 (Yellow)")</f>
        <v>X3264 (Yellow)</v>
      </c>
      <c r="F65" s="8" t="str">
        <f>IFERROR(__xludf.DUMMYFUNCTION("""COMPUTED_VALUE"""),"Cashew")</f>
        <v>Cashew</v>
      </c>
      <c r="G65" s="8" t="str">
        <f>IFERROR(__xludf.DUMMYFUNCTION("""COMPUTED_VALUE"""),"Anacardier")</f>
        <v>Anacardier</v>
      </c>
      <c r="H65" s="8" t="str">
        <f>IFERROR(__xludf.DUMMYFUNCTION("""COMPUTED_VALUE"""),"graft")</f>
        <v>graft</v>
      </c>
      <c r="I65" s="8" t="str">
        <f>IFERROR(__xludf.DUMMYFUNCTION("""COMPUTED_VALUE"""),"C065")</f>
        <v>C065</v>
      </c>
      <c r="J65" s="8" t="str">
        <f>IFERROR(__xludf.DUMMYFUNCTION("""COMPUTED_VALUE"""),"06N06")</f>
        <v>06N06</v>
      </c>
      <c r="K65" s="8"/>
      <c r="L65" s="8">
        <f>IFERROR(__xludf.DUMMYFUNCTION("""COMPUTED_VALUE"""),1.0)</f>
        <v>1</v>
      </c>
      <c r="M65" s="8">
        <f>IFERROR(__xludf.DUMMYFUNCTION("""COMPUTED_VALUE"""),0.0)</f>
        <v>0</v>
      </c>
      <c r="N65" s="8">
        <f>IFERROR(__xludf.DUMMYFUNCTION("""COMPUTED_VALUE"""),20.0)</f>
        <v>20</v>
      </c>
      <c r="O65" s="8"/>
      <c r="P65" s="8"/>
      <c r="Q65" s="8"/>
      <c r="R65" s="8"/>
      <c r="S65" s="8"/>
      <c r="T65" s="8"/>
      <c r="U65" s="8"/>
      <c r="V65" s="8"/>
      <c r="W65" s="8"/>
      <c r="X65" s="8"/>
      <c r="Y65" s="8"/>
      <c r="Z65" s="8"/>
    </row>
    <row r="66">
      <c r="A66" s="8">
        <f>IFERROR(__xludf.DUMMYFUNCTION("""COMPUTED_VALUE"""),66.0)</f>
        <v>66</v>
      </c>
      <c r="B66" s="8" t="str">
        <f>IFERROR(__xludf.DUMMYFUNCTION("""COMPUTED_VALUE"""),"cashew")</f>
        <v>cashew</v>
      </c>
      <c r="C66" s="8" t="str">
        <f>IFERROR(__xludf.DUMMYFUNCTION("""COMPUTED_VALUE"""),"graft")</f>
        <v>graft</v>
      </c>
      <c r="D66" s="55" t="str">
        <f>IFERROR(__xludf.DUMMYFUNCTION("""COMPUTED_VALUE"""),"Anacardium occidentale")</f>
        <v>Anacardium occidentale</v>
      </c>
      <c r="E66" s="8" t="str">
        <f>IFERROR(__xludf.DUMMYFUNCTION("""COMPUTED_VALUE"""),"Unknown")</f>
        <v>Unknown</v>
      </c>
      <c r="F66" s="8" t="str">
        <f>IFERROR(__xludf.DUMMYFUNCTION("""COMPUTED_VALUE"""),"Cashew")</f>
        <v>Cashew</v>
      </c>
      <c r="G66" s="8" t="str">
        <f>IFERROR(__xludf.DUMMYFUNCTION("""COMPUTED_VALUE"""),"Anacardier")</f>
        <v>Anacardier</v>
      </c>
      <c r="H66" s="8" t="str">
        <f>IFERROR(__xludf.DUMMYFUNCTION("""COMPUTED_VALUE"""),"graft")</f>
        <v>graft</v>
      </c>
      <c r="I66" s="8" t="str">
        <f>IFERROR(__xludf.DUMMYFUNCTION("""COMPUTED_VALUE"""),"C066")</f>
        <v>C066</v>
      </c>
      <c r="J66" s="8" t="str">
        <f>IFERROR(__xludf.DUMMYFUNCTION("""COMPUTED_VALUE"""),"06N07")</f>
        <v>06N07</v>
      </c>
      <c r="K66" s="8"/>
      <c r="L66" s="8">
        <f>IFERROR(__xludf.DUMMYFUNCTION("""COMPUTED_VALUE"""),1.0)</f>
        <v>1</v>
      </c>
      <c r="M66" s="8">
        <f>IFERROR(__xludf.DUMMYFUNCTION("""COMPUTED_VALUE"""),0.0)</f>
        <v>0</v>
      </c>
      <c r="N66" s="8">
        <f>IFERROR(__xludf.DUMMYFUNCTION("""COMPUTED_VALUE"""),12.0)</f>
        <v>12</v>
      </c>
      <c r="O66" s="8"/>
      <c r="P66" s="8"/>
      <c r="Q66" s="8"/>
      <c r="R66" s="8"/>
      <c r="S66" s="8"/>
      <c r="T66" s="8"/>
      <c r="U66" s="8"/>
      <c r="V66" s="8"/>
      <c r="W66" s="8"/>
      <c r="X66" s="8"/>
      <c r="Y66" s="8"/>
      <c r="Z66" s="8"/>
    </row>
    <row r="67">
      <c r="A67" s="8">
        <f>IFERROR(__xludf.DUMMYFUNCTION("""COMPUTED_VALUE"""),67.0)</f>
        <v>67</v>
      </c>
      <c r="B67" s="8" t="str">
        <f>IFERROR(__xludf.DUMMYFUNCTION("""COMPUTED_VALUE"""),"cashew")</f>
        <v>cashew</v>
      </c>
      <c r="C67" s="8" t="str">
        <f>IFERROR(__xludf.DUMMYFUNCTION("""COMPUTED_VALUE"""),"graft")</f>
        <v>graft</v>
      </c>
      <c r="D67" s="55" t="str">
        <f>IFERROR(__xludf.DUMMYFUNCTION("""COMPUTED_VALUE"""),"Anacardium occidentale")</f>
        <v>Anacardium occidentale</v>
      </c>
      <c r="E67" s="8" t="str">
        <f>IFERROR(__xludf.DUMMYFUNCTION("""COMPUTED_VALUE"""),"X4297 (Red)")</f>
        <v>X4297 (Red)</v>
      </c>
      <c r="F67" s="8" t="str">
        <f>IFERROR(__xludf.DUMMYFUNCTION("""COMPUTED_VALUE"""),"Cashew")</f>
        <v>Cashew</v>
      </c>
      <c r="G67" s="8" t="str">
        <f>IFERROR(__xludf.DUMMYFUNCTION("""COMPUTED_VALUE"""),"Anacardier")</f>
        <v>Anacardier</v>
      </c>
      <c r="H67" s="8" t="str">
        <f>IFERROR(__xludf.DUMMYFUNCTION("""COMPUTED_VALUE"""),"graft")</f>
        <v>graft</v>
      </c>
      <c r="I67" s="8" t="str">
        <f>IFERROR(__xludf.DUMMYFUNCTION("""COMPUTED_VALUE"""),"C067")</f>
        <v>C067</v>
      </c>
      <c r="J67" s="8" t="str">
        <f>IFERROR(__xludf.DUMMYFUNCTION("""COMPUTED_VALUE"""),"06N08")</f>
        <v>06N08</v>
      </c>
      <c r="K67" s="8"/>
      <c r="L67" s="8">
        <f>IFERROR(__xludf.DUMMYFUNCTION("""COMPUTED_VALUE"""),1.0)</f>
        <v>1</v>
      </c>
      <c r="M67" s="8">
        <f>IFERROR(__xludf.DUMMYFUNCTION("""COMPUTED_VALUE"""),0.0)</f>
        <v>0</v>
      </c>
      <c r="N67" s="8">
        <f>IFERROR(__xludf.DUMMYFUNCTION("""COMPUTED_VALUE"""),22.0)</f>
        <v>22</v>
      </c>
      <c r="O67" s="8"/>
      <c r="P67" s="8"/>
      <c r="Q67" s="8"/>
      <c r="R67" s="8"/>
      <c r="S67" s="8"/>
      <c r="T67" s="8"/>
      <c r="U67" s="8"/>
      <c r="V67" s="8"/>
      <c r="W67" s="8"/>
      <c r="X67" s="8"/>
      <c r="Y67" s="8"/>
      <c r="Z67" s="8"/>
    </row>
    <row r="68">
      <c r="A68" s="8">
        <f>IFERROR(__xludf.DUMMYFUNCTION("""COMPUTED_VALUE"""),68.0)</f>
        <v>68</v>
      </c>
      <c r="B68" s="8" t="str">
        <f>IFERROR(__xludf.DUMMYFUNCTION("""COMPUTED_VALUE"""),"cashew")</f>
        <v>cashew</v>
      </c>
      <c r="C68" s="8" t="str">
        <f>IFERROR(__xludf.DUMMYFUNCTION("""COMPUTED_VALUE"""),"graft")</f>
        <v>graft</v>
      </c>
      <c r="D68" s="55" t="str">
        <f>IFERROR(__xludf.DUMMYFUNCTION("""COMPUTED_VALUE"""),"Anacardium occidentale")</f>
        <v>Anacardium occidentale</v>
      </c>
      <c r="E68" s="8" t="str">
        <f>IFERROR(__xludf.DUMMYFUNCTION("""COMPUTED_VALUE"""),"X4297 (Red)")</f>
        <v>X4297 (Red)</v>
      </c>
      <c r="F68" s="8" t="str">
        <f>IFERROR(__xludf.DUMMYFUNCTION("""COMPUTED_VALUE"""),"Cashew")</f>
        <v>Cashew</v>
      </c>
      <c r="G68" s="8" t="str">
        <f>IFERROR(__xludf.DUMMYFUNCTION("""COMPUTED_VALUE"""),"Anacardier")</f>
        <v>Anacardier</v>
      </c>
      <c r="H68" s="8" t="str">
        <f>IFERROR(__xludf.DUMMYFUNCTION("""COMPUTED_VALUE"""),"graft")</f>
        <v>graft</v>
      </c>
      <c r="I68" s="8" t="str">
        <f>IFERROR(__xludf.DUMMYFUNCTION("""COMPUTED_VALUE"""),"C068")</f>
        <v>C068</v>
      </c>
      <c r="J68" s="8" t="str">
        <f>IFERROR(__xludf.DUMMYFUNCTION("""COMPUTED_VALUE"""),"06N09")</f>
        <v>06N09</v>
      </c>
      <c r="K68" s="8"/>
      <c r="L68" s="8">
        <f>IFERROR(__xludf.DUMMYFUNCTION("""COMPUTED_VALUE"""),1.0)</f>
        <v>1</v>
      </c>
      <c r="M68" s="8">
        <f>IFERROR(__xludf.DUMMYFUNCTION("""COMPUTED_VALUE"""),0.0)</f>
        <v>0</v>
      </c>
      <c r="N68" s="8">
        <f>IFERROR(__xludf.DUMMYFUNCTION("""COMPUTED_VALUE"""),22.0)</f>
        <v>22</v>
      </c>
      <c r="O68" s="8"/>
      <c r="P68" s="8"/>
      <c r="Q68" s="8"/>
      <c r="R68" s="8"/>
      <c r="S68" s="8"/>
      <c r="T68" s="8"/>
      <c r="U68" s="8"/>
      <c r="V68" s="8"/>
      <c r="W68" s="8"/>
      <c r="X68" s="8"/>
      <c r="Y68" s="8"/>
      <c r="Z68" s="8"/>
    </row>
    <row r="69">
      <c r="A69" s="8">
        <f>IFERROR(__xludf.DUMMYFUNCTION("""COMPUTED_VALUE"""),69.0)</f>
        <v>69</v>
      </c>
      <c r="B69" s="8" t="str">
        <f>IFERROR(__xludf.DUMMYFUNCTION("""COMPUTED_VALUE"""),"cashew")</f>
        <v>cashew</v>
      </c>
      <c r="C69" s="8" t="str">
        <f>IFERROR(__xludf.DUMMYFUNCTION("""COMPUTED_VALUE"""),"graft")</f>
        <v>graft</v>
      </c>
      <c r="D69" s="55" t="str">
        <f>IFERROR(__xludf.DUMMYFUNCTION("""COMPUTED_VALUE"""),"Anacardium occidentale")</f>
        <v>Anacardium occidentale</v>
      </c>
      <c r="E69" s="8" t="str">
        <f>IFERROR(__xludf.DUMMYFUNCTION("""COMPUTED_VALUE"""),"X4297 (Red)")</f>
        <v>X4297 (Red)</v>
      </c>
      <c r="F69" s="8" t="str">
        <f>IFERROR(__xludf.DUMMYFUNCTION("""COMPUTED_VALUE"""),"Cashew")</f>
        <v>Cashew</v>
      </c>
      <c r="G69" s="8" t="str">
        <f>IFERROR(__xludf.DUMMYFUNCTION("""COMPUTED_VALUE"""),"Anacardier")</f>
        <v>Anacardier</v>
      </c>
      <c r="H69" s="8" t="str">
        <f>IFERROR(__xludf.DUMMYFUNCTION("""COMPUTED_VALUE"""),"graft")</f>
        <v>graft</v>
      </c>
      <c r="I69" s="8" t="str">
        <f>IFERROR(__xludf.DUMMYFUNCTION("""COMPUTED_VALUE"""),"C069")</f>
        <v>C069</v>
      </c>
      <c r="J69" s="8" t="str">
        <f>IFERROR(__xludf.DUMMYFUNCTION("""COMPUTED_VALUE"""),"06N10")</f>
        <v>06N10</v>
      </c>
      <c r="K69" s="8"/>
      <c r="L69" s="8">
        <f>IFERROR(__xludf.DUMMYFUNCTION("""COMPUTED_VALUE"""),1.0)</f>
        <v>1</v>
      </c>
      <c r="M69" s="8">
        <f>IFERROR(__xludf.DUMMYFUNCTION("""COMPUTED_VALUE"""),0.0)</f>
        <v>0</v>
      </c>
      <c r="N69" s="8">
        <f>IFERROR(__xludf.DUMMYFUNCTION("""COMPUTED_VALUE"""),22.0)</f>
        <v>22</v>
      </c>
      <c r="O69" s="8"/>
      <c r="P69" s="8"/>
      <c r="Q69" s="8"/>
      <c r="R69" s="8"/>
      <c r="S69" s="8"/>
      <c r="T69" s="8"/>
      <c r="U69" s="8"/>
      <c r="V69" s="8"/>
      <c r="W69" s="8"/>
      <c r="X69" s="8"/>
      <c r="Y69" s="8"/>
      <c r="Z69" s="8"/>
    </row>
    <row r="70">
      <c r="A70" s="8">
        <f>IFERROR(__xludf.DUMMYFUNCTION("""COMPUTED_VALUE"""),70.0)</f>
        <v>70</v>
      </c>
      <c r="B70" s="8" t="str">
        <f>IFERROR(__xludf.DUMMYFUNCTION("""COMPUTED_VALUE"""),"cashew")</f>
        <v>cashew</v>
      </c>
      <c r="C70" s="8" t="str">
        <f>IFERROR(__xludf.DUMMYFUNCTION("""COMPUTED_VALUE"""),"graft")</f>
        <v>graft</v>
      </c>
      <c r="D70" s="55" t="str">
        <f>IFERROR(__xludf.DUMMYFUNCTION("""COMPUTED_VALUE"""),"Anacardium occidentale")</f>
        <v>Anacardium occidentale</v>
      </c>
      <c r="E70" s="8" t="str">
        <f>IFERROR(__xludf.DUMMYFUNCTION("""COMPUTED_VALUE"""),"X4297 (Red)")</f>
        <v>X4297 (Red)</v>
      </c>
      <c r="F70" s="8" t="str">
        <f>IFERROR(__xludf.DUMMYFUNCTION("""COMPUTED_VALUE"""),"Cashew")</f>
        <v>Cashew</v>
      </c>
      <c r="G70" s="8" t="str">
        <f>IFERROR(__xludf.DUMMYFUNCTION("""COMPUTED_VALUE"""),"Anacardier")</f>
        <v>Anacardier</v>
      </c>
      <c r="H70" s="8" t="str">
        <f>IFERROR(__xludf.DUMMYFUNCTION("""COMPUTED_VALUE"""),"graft")</f>
        <v>graft</v>
      </c>
      <c r="I70" s="8" t="str">
        <f>IFERROR(__xludf.DUMMYFUNCTION("""COMPUTED_VALUE"""),"C070")</f>
        <v>C070</v>
      </c>
      <c r="J70" s="8" t="str">
        <f>IFERROR(__xludf.DUMMYFUNCTION("""COMPUTED_VALUE"""),"06N11")</f>
        <v>06N11</v>
      </c>
      <c r="K70" s="8"/>
      <c r="L70" s="8">
        <f>IFERROR(__xludf.DUMMYFUNCTION("""COMPUTED_VALUE"""),1.0)</f>
        <v>1</v>
      </c>
      <c r="M70" s="8">
        <f>IFERROR(__xludf.DUMMYFUNCTION("""COMPUTED_VALUE"""),0.0)</f>
        <v>0</v>
      </c>
      <c r="N70" s="8">
        <f>IFERROR(__xludf.DUMMYFUNCTION("""COMPUTED_VALUE"""),22.0)</f>
        <v>22</v>
      </c>
      <c r="O70" s="8"/>
      <c r="P70" s="8"/>
      <c r="Q70" s="8"/>
      <c r="R70" s="8"/>
      <c r="S70" s="8"/>
      <c r="T70" s="8"/>
      <c r="U70" s="8"/>
      <c r="V70" s="8"/>
      <c r="W70" s="8"/>
      <c r="X70" s="8"/>
      <c r="Y70" s="8"/>
      <c r="Z70" s="8"/>
    </row>
    <row r="71">
      <c r="A71" s="8">
        <f>IFERROR(__xludf.DUMMYFUNCTION("""COMPUTED_VALUE"""),71.0)</f>
        <v>71</v>
      </c>
      <c r="B71" s="8" t="str">
        <f>IFERROR(__xludf.DUMMYFUNCTION("""COMPUTED_VALUE"""),"cashew")</f>
        <v>cashew</v>
      </c>
      <c r="C71" s="8" t="str">
        <f>IFERROR(__xludf.DUMMYFUNCTION("""COMPUTED_VALUE"""),"graft")</f>
        <v>graft</v>
      </c>
      <c r="D71" s="55" t="str">
        <f>IFERROR(__xludf.DUMMYFUNCTION("""COMPUTED_VALUE"""),"Anacardium occidentale")</f>
        <v>Anacardium occidentale</v>
      </c>
      <c r="E71" s="8" t="str">
        <f>IFERROR(__xludf.DUMMYFUNCTION("""COMPUTED_VALUE"""),"X4297 (Red)")</f>
        <v>X4297 (Red)</v>
      </c>
      <c r="F71" s="8" t="str">
        <f>IFERROR(__xludf.DUMMYFUNCTION("""COMPUTED_VALUE"""),"Cashew")</f>
        <v>Cashew</v>
      </c>
      <c r="G71" s="8" t="str">
        <f>IFERROR(__xludf.DUMMYFUNCTION("""COMPUTED_VALUE"""),"Anacardier")</f>
        <v>Anacardier</v>
      </c>
      <c r="H71" s="8" t="str">
        <f>IFERROR(__xludf.DUMMYFUNCTION("""COMPUTED_VALUE"""),"graft")</f>
        <v>graft</v>
      </c>
      <c r="I71" s="8" t="str">
        <f>IFERROR(__xludf.DUMMYFUNCTION("""COMPUTED_VALUE"""),"C071")</f>
        <v>C071</v>
      </c>
      <c r="J71" s="8" t="str">
        <f>IFERROR(__xludf.DUMMYFUNCTION("""COMPUTED_VALUE"""),"06N12")</f>
        <v>06N12</v>
      </c>
      <c r="K71" s="8"/>
      <c r="L71" s="8">
        <f>IFERROR(__xludf.DUMMYFUNCTION("""COMPUTED_VALUE"""),1.0)</f>
        <v>1</v>
      </c>
      <c r="M71" s="8">
        <f>IFERROR(__xludf.DUMMYFUNCTION("""COMPUTED_VALUE"""),0.0)</f>
        <v>0</v>
      </c>
      <c r="N71" s="8">
        <f>IFERROR(__xludf.DUMMYFUNCTION("""COMPUTED_VALUE"""),22.0)</f>
        <v>22</v>
      </c>
      <c r="O71" s="8"/>
      <c r="P71" s="8"/>
      <c r="Q71" s="8"/>
      <c r="R71" s="8"/>
      <c r="S71" s="8"/>
      <c r="T71" s="8"/>
      <c r="U71" s="8"/>
      <c r="V71" s="8"/>
      <c r="W71" s="8"/>
      <c r="X71" s="8"/>
      <c r="Y71" s="8"/>
      <c r="Z71" s="8"/>
    </row>
    <row r="72">
      <c r="A72" s="8">
        <f>IFERROR(__xludf.DUMMYFUNCTION("""COMPUTED_VALUE"""),72.0)</f>
        <v>72</v>
      </c>
      <c r="B72" s="8" t="str">
        <f>IFERROR(__xludf.DUMMYFUNCTION("""COMPUTED_VALUE"""),"cashew")</f>
        <v>cashew</v>
      </c>
      <c r="C72" s="8" t="str">
        <f>IFERROR(__xludf.DUMMYFUNCTION("""COMPUTED_VALUE"""),"graft")</f>
        <v>graft</v>
      </c>
      <c r="D72" s="55" t="str">
        <f>IFERROR(__xludf.DUMMYFUNCTION("""COMPUTED_VALUE"""),"Anacardium occidentale")</f>
        <v>Anacardium occidentale</v>
      </c>
      <c r="E72" s="8" t="str">
        <f>IFERROR(__xludf.DUMMYFUNCTION("""COMPUTED_VALUE"""),"X4297 (Red)")</f>
        <v>X4297 (Red)</v>
      </c>
      <c r="F72" s="8" t="str">
        <f>IFERROR(__xludf.DUMMYFUNCTION("""COMPUTED_VALUE"""),"Cashew")</f>
        <v>Cashew</v>
      </c>
      <c r="G72" s="8" t="str">
        <f>IFERROR(__xludf.DUMMYFUNCTION("""COMPUTED_VALUE"""),"Anacardier")</f>
        <v>Anacardier</v>
      </c>
      <c r="H72" s="8" t="str">
        <f>IFERROR(__xludf.DUMMYFUNCTION("""COMPUTED_VALUE"""),"graft")</f>
        <v>graft</v>
      </c>
      <c r="I72" s="8" t="str">
        <f>IFERROR(__xludf.DUMMYFUNCTION("""COMPUTED_VALUE"""),"C072")</f>
        <v>C072</v>
      </c>
      <c r="J72" s="8" t="str">
        <f>IFERROR(__xludf.DUMMYFUNCTION("""COMPUTED_VALUE"""),"06N13")</f>
        <v>06N13</v>
      </c>
      <c r="K72" s="8"/>
      <c r="L72" s="8">
        <f>IFERROR(__xludf.DUMMYFUNCTION("""COMPUTED_VALUE"""),1.0)</f>
        <v>1</v>
      </c>
      <c r="M72" s="8">
        <f>IFERROR(__xludf.DUMMYFUNCTION("""COMPUTED_VALUE"""),0.0)</f>
        <v>0</v>
      </c>
      <c r="N72" s="8">
        <f>IFERROR(__xludf.DUMMYFUNCTION("""COMPUTED_VALUE"""),22.0)</f>
        <v>22</v>
      </c>
      <c r="O72" s="8"/>
      <c r="P72" s="8"/>
      <c r="Q72" s="8"/>
      <c r="R72" s="8"/>
      <c r="S72" s="8"/>
      <c r="T72" s="8"/>
      <c r="U72" s="8"/>
      <c r="V72" s="8"/>
      <c r="W72" s="8"/>
      <c r="X72" s="8"/>
      <c r="Y72" s="8"/>
      <c r="Z72" s="8"/>
    </row>
    <row r="73">
      <c r="A73" s="8">
        <f>IFERROR(__xludf.DUMMYFUNCTION("""COMPUTED_VALUE"""),73.0)</f>
        <v>73</v>
      </c>
      <c r="B73" s="8" t="str">
        <f>IFERROR(__xludf.DUMMYFUNCTION("""COMPUTED_VALUE"""),"cashew")</f>
        <v>cashew</v>
      </c>
      <c r="C73" s="8" t="str">
        <f>IFERROR(__xludf.DUMMYFUNCTION("""COMPUTED_VALUE"""),"graft")</f>
        <v>graft</v>
      </c>
      <c r="D73" s="55" t="str">
        <f>IFERROR(__xludf.DUMMYFUNCTION("""COMPUTED_VALUE"""),"Anacardium occidentale")</f>
        <v>Anacardium occidentale</v>
      </c>
      <c r="E73" s="8" t="str">
        <f>IFERROR(__xludf.DUMMYFUNCTION("""COMPUTED_VALUE"""),"X4297 (Red)")</f>
        <v>X4297 (Red)</v>
      </c>
      <c r="F73" s="8" t="str">
        <f>IFERROR(__xludf.DUMMYFUNCTION("""COMPUTED_VALUE"""),"Cashew")</f>
        <v>Cashew</v>
      </c>
      <c r="G73" s="8" t="str">
        <f>IFERROR(__xludf.DUMMYFUNCTION("""COMPUTED_VALUE"""),"Anacardier")</f>
        <v>Anacardier</v>
      </c>
      <c r="H73" s="8" t="str">
        <f>IFERROR(__xludf.DUMMYFUNCTION("""COMPUTED_VALUE"""),"graft")</f>
        <v>graft</v>
      </c>
      <c r="I73" s="8" t="str">
        <f>IFERROR(__xludf.DUMMYFUNCTION("""COMPUTED_VALUE"""),"C073")</f>
        <v>C073</v>
      </c>
      <c r="J73" s="8" t="str">
        <f>IFERROR(__xludf.DUMMYFUNCTION("""COMPUTED_VALUE"""),"07N01")</f>
        <v>07N01</v>
      </c>
      <c r="K73" s="8"/>
      <c r="L73" s="8">
        <f>IFERROR(__xludf.DUMMYFUNCTION("""COMPUTED_VALUE"""),1.0)</f>
        <v>1</v>
      </c>
      <c r="M73" s="8">
        <f>IFERROR(__xludf.DUMMYFUNCTION("""COMPUTED_VALUE"""),0.0)</f>
        <v>0</v>
      </c>
      <c r="N73" s="8">
        <f>IFERROR(__xludf.DUMMYFUNCTION("""COMPUTED_VALUE"""),22.0)</f>
        <v>22</v>
      </c>
      <c r="O73" s="8"/>
      <c r="P73" s="8"/>
      <c r="Q73" s="8"/>
      <c r="R73" s="8"/>
      <c r="S73" s="8"/>
      <c r="T73" s="8"/>
      <c r="U73" s="8"/>
      <c r="V73" s="8"/>
      <c r="W73" s="8"/>
      <c r="X73" s="8"/>
      <c r="Y73" s="8"/>
      <c r="Z73" s="8"/>
    </row>
    <row r="74">
      <c r="A74" s="8">
        <f>IFERROR(__xludf.DUMMYFUNCTION("""COMPUTED_VALUE"""),74.0)</f>
        <v>74</v>
      </c>
      <c r="B74" s="8" t="str">
        <f>IFERROR(__xludf.DUMMYFUNCTION("""COMPUTED_VALUE"""),"cashew")</f>
        <v>cashew</v>
      </c>
      <c r="C74" s="8" t="str">
        <f>IFERROR(__xludf.DUMMYFUNCTION("""COMPUTED_VALUE"""),"graft")</f>
        <v>graft</v>
      </c>
      <c r="D74" s="55" t="str">
        <f>IFERROR(__xludf.DUMMYFUNCTION("""COMPUTED_VALUE"""),"Anacardium occidentale")</f>
        <v>Anacardium occidentale</v>
      </c>
      <c r="E74" s="8" t="str">
        <f>IFERROR(__xludf.DUMMYFUNCTION("""COMPUTED_VALUE"""),"X4297 (Red)")</f>
        <v>X4297 (Red)</v>
      </c>
      <c r="F74" s="8" t="str">
        <f>IFERROR(__xludf.DUMMYFUNCTION("""COMPUTED_VALUE"""),"Cashew")</f>
        <v>Cashew</v>
      </c>
      <c r="G74" s="8" t="str">
        <f>IFERROR(__xludf.DUMMYFUNCTION("""COMPUTED_VALUE"""),"Anacardier")</f>
        <v>Anacardier</v>
      </c>
      <c r="H74" s="8" t="str">
        <f>IFERROR(__xludf.DUMMYFUNCTION("""COMPUTED_VALUE"""),"graft")</f>
        <v>graft</v>
      </c>
      <c r="I74" s="8" t="str">
        <f>IFERROR(__xludf.DUMMYFUNCTION("""COMPUTED_VALUE"""),"C074")</f>
        <v>C074</v>
      </c>
      <c r="J74" s="8" t="str">
        <f>IFERROR(__xludf.DUMMYFUNCTION("""COMPUTED_VALUE"""),"07N02")</f>
        <v>07N02</v>
      </c>
      <c r="K74" s="8"/>
      <c r="L74" s="8">
        <f>IFERROR(__xludf.DUMMYFUNCTION("""COMPUTED_VALUE"""),1.0)</f>
        <v>1</v>
      </c>
      <c r="M74" s="8">
        <f>IFERROR(__xludf.DUMMYFUNCTION("""COMPUTED_VALUE"""),0.0)</f>
        <v>0</v>
      </c>
      <c r="N74" s="8">
        <f>IFERROR(__xludf.DUMMYFUNCTION("""COMPUTED_VALUE"""),22.0)</f>
        <v>22</v>
      </c>
      <c r="O74" s="8"/>
      <c r="P74" s="8"/>
      <c r="Q74" s="8"/>
      <c r="R74" s="8"/>
      <c r="S74" s="8"/>
      <c r="T74" s="8"/>
      <c r="U74" s="8"/>
      <c r="V74" s="8"/>
      <c r="W74" s="8"/>
      <c r="X74" s="8"/>
      <c r="Y74" s="8"/>
      <c r="Z74" s="8"/>
    </row>
    <row r="75">
      <c r="A75" s="8">
        <f>IFERROR(__xludf.DUMMYFUNCTION("""COMPUTED_VALUE"""),75.0)</f>
        <v>75</v>
      </c>
      <c r="B75" s="8" t="str">
        <f>IFERROR(__xludf.DUMMYFUNCTION("""COMPUTED_VALUE"""),"cashew")</f>
        <v>cashew</v>
      </c>
      <c r="C75" s="8" t="str">
        <f>IFERROR(__xludf.DUMMYFUNCTION("""COMPUTED_VALUE"""),"graft")</f>
        <v>graft</v>
      </c>
      <c r="D75" s="55" t="str">
        <f>IFERROR(__xludf.DUMMYFUNCTION("""COMPUTED_VALUE"""),"Anacardium occidentale")</f>
        <v>Anacardium occidentale</v>
      </c>
      <c r="E75" s="8" t="str">
        <f>IFERROR(__xludf.DUMMYFUNCTION("""COMPUTED_VALUE"""),"X4297 (Red)")</f>
        <v>X4297 (Red)</v>
      </c>
      <c r="F75" s="8" t="str">
        <f>IFERROR(__xludf.DUMMYFUNCTION("""COMPUTED_VALUE"""),"Cashew")</f>
        <v>Cashew</v>
      </c>
      <c r="G75" s="8" t="str">
        <f>IFERROR(__xludf.DUMMYFUNCTION("""COMPUTED_VALUE"""),"Anacardier")</f>
        <v>Anacardier</v>
      </c>
      <c r="H75" s="8" t="str">
        <f>IFERROR(__xludf.DUMMYFUNCTION("""COMPUTED_VALUE"""),"graft")</f>
        <v>graft</v>
      </c>
      <c r="I75" s="8" t="str">
        <f>IFERROR(__xludf.DUMMYFUNCTION("""COMPUTED_VALUE"""),"C075")</f>
        <v>C075</v>
      </c>
      <c r="J75" s="8" t="str">
        <f>IFERROR(__xludf.DUMMYFUNCTION("""COMPUTED_VALUE"""),"07N03")</f>
        <v>07N03</v>
      </c>
      <c r="K75" s="8"/>
      <c r="L75" s="8">
        <f>IFERROR(__xludf.DUMMYFUNCTION("""COMPUTED_VALUE"""),1.0)</f>
        <v>1</v>
      </c>
      <c r="M75" s="8">
        <f>IFERROR(__xludf.DUMMYFUNCTION("""COMPUTED_VALUE"""),0.0)</f>
        <v>0</v>
      </c>
      <c r="N75" s="8">
        <f>IFERROR(__xludf.DUMMYFUNCTION("""COMPUTED_VALUE"""),22.0)</f>
        <v>22</v>
      </c>
      <c r="O75" s="8"/>
      <c r="P75" s="8"/>
      <c r="Q75" s="8"/>
      <c r="R75" s="8"/>
      <c r="S75" s="8"/>
      <c r="T75" s="8"/>
      <c r="U75" s="8"/>
      <c r="V75" s="8"/>
      <c r="W75" s="8"/>
      <c r="X75" s="8"/>
      <c r="Y75" s="8"/>
      <c r="Z75" s="8"/>
    </row>
    <row r="76">
      <c r="A76" s="8">
        <f>IFERROR(__xludf.DUMMYFUNCTION("""COMPUTED_VALUE"""),76.0)</f>
        <v>76</v>
      </c>
      <c r="B76" s="8" t="str">
        <f>IFERROR(__xludf.DUMMYFUNCTION("""COMPUTED_VALUE"""),"cashew")</f>
        <v>cashew</v>
      </c>
      <c r="C76" s="8" t="str">
        <f>IFERROR(__xludf.DUMMYFUNCTION("""COMPUTED_VALUE"""),"graft")</f>
        <v>graft</v>
      </c>
      <c r="D76" s="55" t="str">
        <f>IFERROR(__xludf.DUMMYFUNCTION("""COMPUTED_VALUE"""),"Anacardium occidentale")</f>
        <v>Anacardium occidentale</v>
      </c>
      <c r="E76" s="8" t="str">
        <f>IFERROR(__xludf.DUMMYFUNCTION("""COMPUTED_VALUE"""),"X4297 (Red)")</f>
        <v>X4297 (Red)</v>
      </c>
      <c r="F76" s="8" t="str">
        <f>IFERROR(__xludf.DUMMYFUNCTION("""COMPUTED_VALUE"""),"Cashew")</f>
        <v>Cashew</v>
      </c>
      <c r="G76" s="8" t="str">
        <f>IFERROR(__xludf.DUMMYFUNCTION("""COMPUTED_VALUE"""),"Anacardier")</f>
        <v>Anacardier</v>
      </c>
      <c r="H76" s="8" t="str">
        <f>IFERROR(__xludf.DUMMYFUNCTION("""COMPUTED_VALUE"""),"graft")</f>
        <v>graft</v>
      </c>
      <c r="I76" s="8" t="str">
        <f>IFERROR(__xludf.DUMMYFUNCTION("""COMPUTED_VALUE"""),"C076")</f>
        <v>C076</v>
      </c>
      <c r="J76" s="8" t="str">
        <f>IFERROR(__xludf.DUMMYFUNCTION("""COMPUTED_VALUE"""),"07N04")</f>
        <v>07N04</v>
      </c>
      <c r="K76" s="8"/>
      <c r="L76" s="8">
        <f>IFERROR(__xludf.DUMMYFUNCTION("""COMPUTED_VALUE"""),1.0)</f>
        <v>1</v>
      </c>
      <c r="M76" s="8">
        <f>IFERROR(__xludf.DUMMYFUNCTION("""COMPUTED_VALUE"""),0.0)</f>
        <v>0</v>
      </c>
      <c r="N76" s="8">
        <f>IFERROR(__xludf.DUMMYFUNCTION("""COMPUTED_VALUE"""),22.0)</f>
        <v>22</v>
      </c>
      <c r="O76" s="8"/>
      <c r="P76" s="8"/>
      <c r="Q76" s="8"/>
      <c r="R76" s="8"/>
      <c r="S76" s="8"/>
      <c r="T76" s="8"/>
      <c r="U76" s="8"/>
      <c r="V76" s="8"/>
      <c r="W76" s="8"/>
      <c r="X76" s="8"/>
      <c r="Y76" s="8"/>
      <c r="Z76" s="8"/>
    </row>
    <row r="77">
      <c r="A77" s="8">
        <f>IFERROR(__xludf.DUMMYFUNCTION("""COMPUTED_VALUE"""),77.0)</f>
        <v>77</v>
      </c>
      <c r="B77" s="8" t="str">
        <f>IFERROR(__xludf.DUMMYFUNCTION("""COMPUTED_VALUE"""),"cashew")</f>
        <v>cashew</v>
      </c>
      <c r="C77" s="8" t="str">
        <f>IFERROR(__xludf.DUMMYFUNCTION("""COMPUTED_VALUE"""),"graft")</f>
        <v>graft</v>
      </c>
      <c r="D77" s="55" t="str">
        <f>IFERROR(__xludf.DUMMYFUNCTION("""COMPUTED_VALUE"""),"Anacardium occidentale")</f>
        <v>Anacardium occidentale</v>
      </c>
      <c r="E77" s="8" t="str">
        <f>IFERROR(__xludf.DUMMYFUNCTION("""COMPUTED_VALUE"""),"X4297 (Red)")</f>
        <v>X4297 (Red)</v>
      </c>
      <c r="F77" s="8" t="str">
        <f>IFERROR(__xludf.DUMMYFUNCTION("""COMPUTED_VALUE"""),"Cashew")</f>
        <v>Cashew</v>
      </c>
      <c r="G77" s="8" t="str">
        <f>IFERROR(__xludf.DUMMYFUNCTION("""COMPUTED_VALUE"""),"Anacardier")</f>
        <v>Anacardier</v>
      </c>
      <c r="H77" s="8" t="str">
        <f>IFERROR(__xludf.DUMMYFUNCTION("""COMPUTED_VALUE"""),"graft")</f>
        <v>graft</v>
      </c>
      <c r="I77" s="8" t="str">
        <f>IFERROR(__xludf.DUMMYFUNCTION("""COMPUTED_VALUE"""),"C077")</f>
        <v>C077</v>
      </c>
      <c r="J77" s="8" t="str">
        <f>IFERROR(__xludf.DUMMYFUNCTION("""COMPUTED_VALUE"""),"07N05")</f>
        <v>07N05</v>
      </c>
      <c r="K77" s="8"/>
      <c r="L77" s="8">
        <f>IFERROR(__xludf.DUMMYFUNCTION("""COMPUTED_VALUE"""),1.0)</f>
        <v>1</v>
      </c>
      <c r="M77" s="8">
        <f>IFERROR(__xludf.DUMMYFUNCTION("""COMPUTED_VALUE"""),0.0)</f>
        <v>0</v>
      </c>
      <c r="N77" s="8">
        <f>IFERROR(__xludf.DUMMYFUNCTION("""COMPUTED_VALUE"""),22.0)</f>
        <v>22</v>
      </c>
      <c r="O77" s="8"/>
      <c r="P77" s="8"/>
      <c r="Q77" s="8"/>
      <c r="R77" s="8"/>
      <c r="S77" s="8"/>
      <c r="T77" s="8"/>
      <c r="U77" s="8"/>
      <c r="V77" s="8"/>
      <c r="W77" s="8"/>
      <c r="X77" s="8"/>
      <c r="Y77" s="8"/>
      <c r="Z77" s="8"/>
    </row>
    <row r="78">
      <c r="A78" s="8">
        <f>IFERROR(__xludf.DUMMYFUNCTION("""COMPUTED_VALUE"""),78.0)</f>
        <v>78</v>
      </c>
      <c r="B78" s="8" t="str">
        <f>IFERROR(__xludf.DUMMYFUNCTION("""COMPUTED_VALUE"""),"cashew")</f>
        <v>cashew</v>
      </c>
      <c r="C78" s="8" t="str">
        <f>IFERROR(__xludf.DUMMYFUNCTION("""COMPUTED_VALUE"""),"graft")</f>
        <v>graft</v>
      </c>
      <c r="D78" s="55" t="str">
        <f>IFERROR(__xludf.DUMMYFUNCTION("""COMPUTED_VALUE"""),"Anacardium occidentale")</f>
        <v>Anacardium occidentale</v>
      </c>
      <c r="E78" s="8" t="str">
        <f>IFERROR(__xludf.DUMMYFUNCTION("""COMPUTED_VALUE"""),"X4297 (Red)")</f>
        <v>X4297 (Red)</v>
      </c>
      <c r="F78" s="8" t="str">
        <f>IFERROR(__xludf.DUMMYFUNCTION("""COMPUTED_VALUE"""),"Cashew")</f>
        <v>Cashew</v>
      </c>
      <c r="G78" s="8" t="str">
        <f>IFERROR(__xludf.DUMMYFUNCTION("""COMPUTED_VALUE"""),"Anacardier")</f>
        <v>Anacardier</v>
      </c>
      <c r="H78" s="8" t="str">
        <f>IFERROR(__xludf.DUMMYFUNCTION("""COMPUTED_VALUE"""),"graft")</f>
        <v>graft</v>
      </c>
      <c r="I78" s="8" t="str">
        <f>IFERROR(__xludf.DUMMYFUNCTION("""COMPUTED_VALUE"""),"C078")</f>
        <v>C078</v>
      </c>
      <c r="J78" s="8" t="str">
        <f>IFERROR(__xludf.DUMMYFUNCTION("""COMPUTED_VALUE"""),"07N06")</f>
        <v>07N06</v>
      </c>
      <c r="K78" s="8"/>
      <c r="L78" s="8">
        <f>IFERROR(__xludf.DUMMYFUNCTION("""COMPUTED_VALUE"""),1.0)</f>
        <v>1</v>
      </c>
      <c r="M78" s="8">
        <f>IFERROR(__xludf.DUMMYFUNCTION("""COMPUTED_VALUE"""),0.0)</f>
        <v>0</v>
      </c>
      <c r="N78" s="8">
        <f>IFERROR(__xludf.DUMMYFUNCTION("""COMPUTED_VALUE"""),22.0)</f>
        <v>22</v>
      </c>
      <c r="O78" s="8"/>
      <c r="P78" s="8"/>
      <c r="Q78" s="8"/>
      <c r="R78" s="8"/>
      <c r="S78" s="8"/>
      <c r="T78" s="8"/>
      <c r="U78" s="8"/>
      <c r="V78" s="8"/>
      <c r="W78" s="8"/>
      <c r="X78" s="8"/>
      <c r="Y78" s="8"/>
      <c r="Z78" s="8"/>
    </row>
    <row r="79">
      <c r="A79" s="8">
        <f>IFERROR(__xludf.DUMMYFUNCTION("""COMPUTED_VALUE"""),79.0)</f>
        <v>79</v>
      </c>
      <c r="B79" s="8" t="str">
        <f>IFERROR(__xludf.DUMMYFUNCTION("""COMPUTED_VALUE"""),"cashew")</f>
        <v>cashew</v>
      </c>
      <c r="C79" s="8" t="str">
        <f>IFERROR(__xludf.DUMMYFUNCTION("""COMPUTED_VALUE"""),"graft")</f>
        <v>graft</v>
      </c>
      <c r="D79" s="55" t="str">
        <f>IFERROR(__xludf.DUMMYFUNCTION("""COMPUTED_VALUE"""),"Anacardium occidentale")</f>
        <v>Anacardium occidentale</v>
      </c>
      <c r="E79" s="8" t="str">
        <f>IFERROR(__xludf.DUMMYFUNCTION("""COMPUTED_VALUE"""),"X4297 (Red)")</f>
        <v>X4297 (Red)</v>
      </c>
      <c r="F79" s="8" t="str">
        <f>IFERROR(__xludf.DUMMYFUNCTION("""COMPUTED_VALUE"""),"Cashew")</f>
        <v>Cashew</v>
      </c>
      <c r="G79" s="8" t="str">
        <f>IFERROR(__xludf.DUMMYFUNCTION("""COMPUTED_VALUE"""),"Anacardier")</f>
        <v>Anacardier</v>
      </c>
      <c r="H79" s="8" t="str">
        <f>IFERROR(__xludf.DUMMYFUNCTION("""COMPUTED_VALUE"""),"graft")</f>
        <v>graft</v>
      </c>
      <c r="I79" s="8" t="str">
        <f>IFERROR(__xludf.DUMMYFUNCTION("""COMPUTED_VALUE"""),"C079")</f>
        <v>C079</v>
      </c>
      <c r="J79" s="8" t="str">
        <f>IFERROR(__xludf.DUMMYFUNCTION("""COMPUTED_VALUE"""),"07N08")</f>
        <v>07N08</v>
      </c>
      <c r="K79" s="8"/>
      <c r="L79" s="8">
        <f>IFERROR(__xludf.DUMMYFUNCTION("""COMPUTED_VALUE"""),1.0)</f>
        <v>1</v>
      </c>
      <c r="M79" s="8">
        <f>IFERROR(__xludf.DUMMYFUNCTION("""COMPUTED_VALUE"""),0.0)</f>
        <v>0</v>
      </c>
      <c r="N79" s="8">
        <f>IFERROR(__xludf.DUMMYFUNCTION("""COMPUTED_VALUE"""),22.0)</f>
        <v>22</v>
      </c>
      <c r="O79" s="8"/>
      <c r="P79" s="8"/>
      <c r="Q79" s="8"/>
      <c r="R79" s="8"/>
      <c r="S79" s="8"/>
      <c r="T79" s="8"/>
      <c r="U79" s="8"/>
      <c r="V79" s="8"/>
      <c r="W79" s="8"/>
      <c r="X79" s="8"/>
      <c r="Y79" s="8"/>
      <c r="Z79" s="8"/>
    </row>
    <row r="80">
      <c r="A80" s="8">
        <f>IFERROR(__xludf.DUMMYFUNCTION("""COMPUTED_VALUE"""),80.0)</f>
        <v>80</v>
      </c>
      <c r="B80" s="8" t="str">
        <f>IFERROR(__xludf.DUMMYFUNCTION("""COMPUTED_VALUE"""),"cashew")</f>
        <v>cashew</v>
      </c>
      <c r="C80" s="8" t="str">
        <f>IFERROR(__xludf.DUMMYFUNCTION("""COMPUTED_VALUE"""),"graft")</f>
        <v>graft</v>
      </c>
      <c r="D80" s="55" t="str">
        <f>IFERROR(__xludf.DUMMYFUNCTION("""COMPUTED_VALUE"""),"Anacardium occidentale")</f>
        <v>Anacardium occidentale</v>
      </c>
      <c r="E80" s="8" t="str">
        <f>IFERROR(__xludf.DUMMYFUNCTION("""COMPUTED_VALUE"""),"X4297 (Red)")</f>
        <v>X4297 (Red)</v>
      </c>
      <c r="F80" s="8" t="str">
        <f>IFERROR(__xludf.DUMMYFUNCTION("""COMPUTED_VALUE"""),"Cashew")</f>
        <v>Cashew</v>
      </c>
      <c r="G80" s="8" t="str">
        <f>IFERROR(__xludf.DUMMYFUNCTION("""COMPUTED_VALUE"""),"Anacardier")</f>
        <v>Anacardier</v>
      </c>
      <c r="H80" s="8" t="str">
        <f>IFERROR(__xludf.DUMMYFUNCTION("""COMPUTED_VALUE"""),"graft")</f>
        <v>graft</v>
      </c>
      <c r="I80" s="8" t="str">
        <f>IFERROR(__xludf.DUMMYFUNCTION("""COMPUTED_VALUE"""),"C080")</f>
        <v>C080</v>
      </c>
      <c r="J80" s="8" t="str">
        <f>IFERROR(__xludf.DUMMYFUNCTION("""COMPUTED_VALUE"""),"07N09")</f>
        <v>07N09</v>
      </c>
      <c r="K80" s="8"/>
      <c r="L80" s="8">
        <f>IFERROR(__xludf.DUMMYFUNCTION("""COMPUTED_VALUE"""),1.0)</f>
        <v>1</v>
      </c>
      <c r="M80" s="8">
        <f>IFERROR(__xludf.DUMMYFUNCTION("""COMPUTED_VALUE"""),0.0)</f>
        <v>0</v>
      </c>
      <c r="N80" s="8">
        <f>IFERROR(__xludf.DUMMYFUNCTION("""COMPUTED_VALUE"""),22.0)</f>
        <v>22</v>
      </c>
      <c r="O80" s="8"/>
      <c r="P80" s="8"/>
      <c r="Q80" s="8"/>
      <c r="R80" s="8"/>
      <c r="S80" s="8"/>
      <c r="T80" s="8"/>
      <c r="U80" s="8"/>
      <c r="V80" s="8"/>
      <c r="W80" s="8"/>
      <c r="X80" s="8"/>
      <c r="Y80" s="8"/>
      <c r="Z80" s="8"/>
    </row>
    <row r="81">
      <c r="A81" s="8">
        <f>IFERROR(__xludf.DUMMYFUNCTION("""COMPUTED_VALUE"""),81.0)</f>
        <v>81</v>
      </c>
      <c r="B81" s="8" t="str">
        <f>IFERROR(__xludf.DUMMYFUNCTION("""COMPUTED_VALUE"""),"cashew")</f>
        <v>cashew</v>
      </c>
      <c r="C81" s="8" t="str">
        <f>IFERROR(__xludf.DUMMYFUNCTION("""COMPUTED_VALUE"""),"graft")</f>
        <v>graft</v>
      </c>
      <c r="D81" s="55" t="str">
        <f>IFERROR(__xludf.DUMMYFUNCTION("""COMPUTED_VALUE"""),"Anacardium occidentale")</f>
        <v>Anacardium occidentale</v>
      </c>
      <c r="E81" s="8" t="str">
        <f>IFERROR(__xludf.DUMMYFUNCTION("""COMPUTED_VALUE"""),"X4297 (Red)")</f>
        <v>X4297 (Red)</v>
      </c>
      <c r="F81" s="8" t="str">
        <f>IFERROR(__xludf.DUMMYFUNCTION("""COMPUTED_VALUE"""),"Cashew")</f>
        <v>Cashew</v>
      </c>
      <c r="G81" s="8" t="str">
        <f>IFERROR(__xludf.DUMMYFUNCTION("""COMPUTED_VALUE"""),"Anacardier")</f>
        <v>Anacardier</v>
      </c>
      <c r="H81" s="8" t="str">
        <f>IFERROR(__xludf.DUMMYFUNCTION("""COMPUTED_VALUE"""),"graft")</f>
        <v>graft</v>
      </c>
      <c r="I81" s="8" t="str">
        <f>IFERROR(__xludf.DUMMYFUNCTION("""COMPUTED_VALUE"""),"C081")</f>
        <v>C081</v>
      </c>
      <c r="J81" s="8" t="str">
        <f>IFERROR(__xludf.DUMMYFUNCTION("""COMPUTED_VALUE"""),"07N10")</f>
        <v>07N10</v>
      </c>
      <c r="K81" s="8"/>
      <c r="L81" s="8">
        <f>IFERROR(__xludf.DUMMYFUNCTION("""COMPUTED_VALUE"""),1.0)</f>
        <v>1</v>
      </c>
      <c r="M81" s="8">
        <f>IFERROR(__xludf.DUMMYFUNCTION("""COMPUTED_VALUE"""),0.0)</f>
        <v>0</v>
      </c>
      <c r="N81" s="8">
        <f>IFERROR(__xludf.DUMMYFUNCTION("""COMPUTED_VALUE"""),22.0)</f>
        <v>22</v>
      </c>
      <c r="O81" s="8"/>
      <c r="P81" s="8"/>
      <c r="Q81" s="8"/>
      <c r="R81" s="8"/>
      <c r="S81" s="8"/>
      <c r="T81" s="8"/>
      <c r="U81" s="8"/>
      <c r="V81" s="8"/>
      <c r="W81" s="8"/>
      <c r="X81" s="8"/>
      <c r="Y81" s="8"/>
      <c r="Z81" s="8"/>
    </row>
    <row r="82">
      <c r="A82" s="8">
        <f>IFERROR(__xludf.DUMMYFUNCTION("""COMPUTED_VALUE"""),82.0)</f>
        <v>82</v>
      </c>
      <c r="B82" s="8" t="str">
        <f>IFERROR(__xludf.DUMMYFUNCTION("""COMPUTED_VALUE"""),"cashew")</f>
        <v>cashew</v>
      </c>
      <c r="C82" s="8" t="str">
        <f>IFERROR(__xludf.DUMMYFUNCTION("""COMPUTED_VALUE"""),"graft")</f>
        <v>graft</v>
      </c>
      <c r="D82" s="55" t="str">
        <f>IFERROR(__xludf.DUMMYFUNCTION("""COMPUTED_VALUE"""),"Anacardium occidentale")</f>
        <v>Anacardium occidentale</v>
      </c>
      <c r="E82" s="8" t="str">
        <f>IFERROR(__xludf.DUMMYFUNCTION("""COMPUTED_VALUE"""),"X4297 (Red)")</f>
        <v>X4297 (Red)</v>
      </c>
      <c r="F82" s="8" t="str">
        <f>IFERROR(__xludf.DUMMYFUNCTION("""COMPUTED_VALUE"""),"Cashew")</f>
        <v>Cashew</v>
      </c>
      <c r="G82" s="8" t="str">
        <f>IFERROR(__xludf.DUMMYFUNCTION("""COMPUTED_VALUE"""),"Anacardier")</f>
        <v>Anacardier</v>
      </c>
      <c r="H82" s="8" t="str">
        <f>IFERROR(__xludf.DUMMYFUNCTION("""COMPUTED_VALUE"""),"graft")</f>
        <v>graft</v>
      </c>
      <c r="I82" s="8" t="str">
        <f>IFERROR(__xludf.DUMMYFUNCTION("""COMPUTED_VALUE"""),"C082")</f>
        <v>C082</v>
      </c>
      <c r="J82" s="8" t="str">
        <f>IFERROR(__xludf.DUMMYFUNCTION("""COMPUTED_VALUE"""),"07N11")</f>
        <v>07N11</v>
      </c>
      <c r="K82" s="8"/>
      <c r="L82" s="8">
        <f>IFERROR(__xludf.DUMMYFUNCTION("""COMPUTED_VALUE"""),1.0)</f>
        <v>1</v>
      </c>
      <c r="M82" s="8">
        <f>IFERROR(__xludf.DUMMYFUNCTION("""COMPUTED_VALUE"""),0.0)</f>
        <v>0</v>
      </c>
      <c r="N82" s="8">
        <f>IFERROR(__xludf.DUMMYFUNCTION("""COMPUTED_VALUE"""),22.0)</f>
        <v>22</v>
      </c>
      <c r="O82" s="8"/>
      <c r="P82" s="8"/>
      <c r="Q82" s="8"/>
      <c r="R82" s="8"/>
      <c r="S82" s="8"/>
      <c r="T82" s="8"/>
      <c r="U82" s="8"/>
      <c r="V82" s="8"/>
      <c r="W82" s="8"/>
      <c r="X82" s="8"/>
      <c r="Y82" s="8"/>
      <c r="Z82" s="8"/>
    </row>
    <row r="83">
      <c r="A83" s="8">
        <f>IFERROR(__xludf.DUMMYFUNCTION("""COMPUTED_VALUE"""),83.0)</f>
        <v>83</v>
      </c>
      <c r="B83" s="8" t="str">
        <f>IFERROR(__xludf.DUMMYFUNCTION("""COMPUTED_VALUE"""),"cashew")</f>
        <v>cashew</v>
      </c>
      <c r="C83" s="8" t="str">
        <f>IFERROR(__xludf.DUMMYFUNCTION("""COMPUTED_VALUE"""),"graft")</f>
        <v>graft</v>
      </c>
      <c r="D83" s="55" t="str">
        <f>IFERROR(__xludf.DUMMYFUNCTION("""COMPUTED_VALUE"""),"Anacardium occidentale")</f>
        <v>Anacardium occidentale</v>
      </c>
      <c r="E83" s="8" t="str">
        <f>IFERROR(__xludf.DUMMYFUNCTION("""COMPUTED_VALUE"""),"X4297 (Red)")</f>
        <v>X4297 (Red)</v>
      </c>
      <c r="F83" s="8" t="str">
        <f>IFERROR(__xludf.DUMMYFUNCTION("""COMPUTED_VALUE"""),"Cashew")</f>
        <v>Cashew</v>
      </c>
      <c r="G83" s="8" t="str">
        <f>IFERROR(__xludf.DUMMYFUNCTION("""COMPUTED_VALUE"""),"Anacardier")</f>
        <v>Anacardier</v>
      </c>
      <c r="H83" s="8" t="str">
        <f>IFERROR(__xludf.DUMMYFUNCTION("""COMPUTED_VALUE"""),"graft")</f>
        <v>graft</v>
      </c>
      <c r="I83" s="8" t="str">
        <f>IFERROR(__xludf.DUMMYFUNCTION("""COMPUTED_VALUE"""),"C083")</f>
        <v>C083</v>
      </c>
      <c r="J83" s="8" t="str">
        <f>IFERROR(__xludf.DUMMYFUNCTION("""COMPUTED_VALUE"""),"07N12")</f>
        <v>07N12</v>
      </c>
      <c r="K83" s="8"/>
      <c r="L83" s="8">
        <f>IFERROR(__xludf.DUMMYFUNCTION("""COMPUTED_VALUE"""),1.0)</f>
        <v>1</v>
      </c>
      <c r="M83" s="8">
        <f>IFERROR(__xludf.DUMMYFUNCTION("""COMPUTED_VALUE"""),0.0)</f>
        <v>0</v>
      </c>
      <c r="N83" s="8">
        <f>IFERROR(__xludf.DUMMYFUNCTION("""COMPUTED_VALUE"""),22.0)</f>
        <v>22</v>
      </c>
      <c r="O83" s="8"/>
      <c r="P83" s="8"/>
      <c r="Q83" s="8"/>
      <c r="R83" s="8"/>
      <c r="S83" s="8"/>
      <c r="T83" s="8"/>
      <c r="U83" s="8"/>
      <c r="V83" s="8"/>
      <c r="W83" s="8"/>
      <c r="X83" s="8"/>
      <c r="Y83" s="8"/>
      <c r="Z83" s="8"/>
    </row>
    <row r="84">
      <c r="A84" s="8">
        <f>IFERROR(__xludf.DUMMYFUNCTION("""COMPUTED_VALUE"""),84.0)</f>
        <v>84</v>
      </c>
      <c r="B84" s="8" t="str">
        <f>IFERROR(__xludf.DUMMYFUNCTION("""COMPUTED_VALUE"""),"cashew")</f>
        <v>cashew</v>
      </c>
      <c r="C84" s="8" t="str">
        <f>IFERROR(__xludf.DUMMYFUNCTION("""COMPUTED_VALUE"""),"graft")</f>
        <v>graft</v>
      </c>
      <c r="D84" s="55" t="str">
        <f>IFERROR(__xludf.DUMMYFUNCTION("""COMPUTED_VALUE"""),"Anacardium occidentale")</f>
        <v>Anacardium occidentale</v>
      </c>
      <c r="E84" s="8" t="str">
        <f>IFERROR(__xludf.DUMMYFUNCTION("""COMPUTED_VALUE"""),"X3264 (Yellow)")</f>
        <v>X3264 (Yellow)</v>
      </c>
      <c r="F84" s="8" t="str">
        <f>IFERROR(__xludf.DUMMYFUNCTION("""COMPUTED_VALUE"""),"Cashew")</f>
        <v>Cashew</v>
      </c>
      <c r="G84" s="8" t="str">
        <f>IFERROR(__xludf.DUMMYFUNCTION("""COMPUTED_VALUE"""),"Anacardier")</f>
        <v>Anacardier</v>
      </c>
      <c r="H84" s="8" t="str">
        <f>IFERROR(__xludf.DUMMYFUNCTION("""COMPUTED_VALUE"""),"graft")</f>
        <v>graft</v>
      </c>
      <c r="I84" s="8" t="str">
        <f>IFERROR(__xludf.DUMMYFUNCTION("""COMPUTED_VALUE"""),"C084")</f>
        <v>C084</v>
      </c>
      <c r="J84" s="8" t="str">
        <f>IFERROR(__xludf.DUMMYFUNCTION("""COMPUTED_VALUE"""),"08N01")</f>
        <v>08N01</v>
      </c>
      <c r="K84" s="8"/>
      <c r="L84" s="8">
        <f>IFERROR(__xludf.DUMMYFUNCTION("""COMPUTED_VALUE"""),1.0)</f>
        <v>1</v>
      </c>
      <c r="M84" s="8">
        <f>IFERROR(__xludf.DUMMYFUNCTION("""COMPUTED_VALUE"""),0.0)</f>
        <v>0</v>
      </c>
      <c r="N84" s="8">
        <f>IFERROR(__xludf.DUMMYFUNCTION("""COMPUTED_VALUE"""),20.0)</f>
        <v>20</v>
      </c>
      <c r="O84" s="8"/>
      <c r="P84" s="8"/>
      <c r="Q84" s="8"/>
      <c r="R84" s="8"/>
      <c r="S84" s="8"/>
      <c r="T84" s="8"/>
      <c r="U84" s="8"/>
      <c r="V84" s="8"/>
      <c r="W84" s="8"/>
      <c r="X84" s="8"/>
      <c r="Y84" s="8"/>
      <c r="Z84" s="8"/>
    </row>
    <row r="85">
      <c r="A85" s="8">
        <f>IFERROR(__xludf.DUMMYFUNCTION("""COMPUTED_VALUE"""),85.0)</f>
        <v>85</v>
      </c>
      <c r="B85" s="8" t="str">
        <f>IFERROR(__xludf.DUMMYFUNCTION("""COMPUTED_VALUE"""),"cashew")</f>
        <v>cashew</v>
      </c>
      <c r="C85" s="8" t="str">
        <f>IFERROR(__xludf.DUMMYFUNCTION("""COMPUTED_VALUE"""),"graft")</f>
        <v>graft</v>
      </c>
      <c r="D85" s="55" t="str">
        <f>IFERROR(__xludf.DUMMYFUNCTION("""COMPUTED_VALUE"""),"Anacardium occidentale")</f>
        <v>Anacardium occidentale</v>
      </c>
      <c r="E85" s="8" t="str">
        <f>IFERROR(__xludf.DUMMYFUNCTION("""COMPUTED_VALUE"""),"X3264 (Yellow)")</f>
        <v>X3264 (Yellow)</v>
      </c>
      <c r="F85" s="8" t="str">
        <f>IFERROR(__xludf.DUMMYFUNCTION("""COMPUTED_VALUE"""),"Cashew")</f>
        <v>Cashew</v>
      </c>
      <c r="G85" s="8" t="str">
        <f>IFERROR(__xludf.DUMMYFUNCTION("""COMPUTED_VALUE"""),"Anacardier")</f>
        <v>Anacardier</v>
      </c>
      <c r="H85" s="8" t="str">
        <f>IFERROR(__xludf.DUMMYFUNCTION("""COMPUTED_VALUE"""),"graft")</f>
        <v>graft</v>
      </c>
      <c r="I85" s="8" t="str">
        <f>IFERROR(__xludf.DUMMYFUNCTION("""COMPUTED_VALUE"""),"C085")</f>
        <v>C085</v>
      </c>
      <c r="J85" s="8" t="str">
        <f>IFERROR(__xludf.DUMMYFUNCTION("""COMPUTED_VALUE"""),"08N02")</f>
        <v>08N02</v>
      </c>
      <c r="K85" s="8"/>
      <c r="L85" s="8">
        <f>IFERROR(__xludf.DUMMYFUNCTION("""COMPUTED_VALUE"""),1.0)</f>
        <v>1</v>
      </c>
      <c r="M85" s="8">
        <f>IFERROR(__xludf.DUMMYFUNCTION("""COMPUTED_VALUE"""),0.0)</f>
        <v>0</v>
      </c>
      <c r="N85" s="8">
        <f>IFERROR(__xludf.DUMMYFUNCTION("""COMPUTED_VALUE"""),20.0)</f>
        <v>20</v>
      </c>
      <c r="O85" s="8"/>
      <c r="P85" s="8"/>
      <c r="Q85" s="8"/>
      <c r="R85" s="8"/>
      <c r="S85" s="8"/>
      <c r="T85" s="8"/>
      <c r="U85" s="8"/>
      <c r="V85" s="8"/>
      <c r="W85" s="8"/>
      <c r="X85" s="8"/>
      <c r="Y85" s="8"/>
      <c r="Z85" s="8"/>
    </row>
    <row r="86">
      <c r="A86" s="8">
        <f>IFERROR(__xludf.DUMMYFUNCTION("""COMPUTED_VALUE"""),86.0)</f>
        <v>86</v>
      </c>
      <c r="B86" s="8" t="str">
        <f>IFERROR(__xludf.DUMMYFUNCTION("""COMPUTED_VALUE"""),"cashew")</f>
        <v>cashew</v>
      </c>
      <c r="C86" s="8" t="str">
        <f>IFERROR(__xludf.DUMMYFUNCTION("""COMPUTED_VALUE"""),"graft")</f>
        <v>graft</v>
      </c>
      <c r="D86" s="55" t="str">
        <f>IFERROR(__xludf.DUMMYFUNCTION("""COMPUTED_VALUE"""),"Anacardium occidentale")</f>
        <v>Anacardium occidentale</v>
      </c>
      <c r="E86" s="8" t="str">
        <f>IFERROR(__xludf.DUMMYFUNCTION("""COMPUTED_VALUE"""),"X3264 (Yellow)")</f>
        <v>X3264 (Yellow)</v>
      </c>
      <c r="F86" s="8" t="str">
        <f>IFERROR(__xludf.DUMMYFUNCTION("""COMPUTED_VALUE"""),"Cashew")</f>
        <v>Cashew</v>
      </c>
      <c r="G86" s="8" t="str">
        <f>IFERROR(__xludf.DUMMYFUNCTION("""COMPUTED_VALUE"""),"Anacardier")</f>
        <v>Anacardier</v>
      </c>
      <c r="H86" s="8" t="str">
        <f>IFERROR(__xludf.DUMMYFUNCTION("""COMPUTED_VALUE"""),"graft")</f>
        <v>graft</v>
      </c>
      <c r="I86" s="8" t="str">
        <f>IFERROR(__xludf.DUMMYFUNCTION("""COMPUTED_VALUE"""),"C086")</f>
        <v>C086</v>
      </c>
      <c r="J86" s="8" t="str">
        <f>IFERROR(__xludf.DUMMYFUNCTION("""COMPUTED_VALUE"""),"08N03")</f>
        <v>08N03</v>
      </c>
      <c r="K86" s="8"/>
      <c r="L86" s="8">
        <f>IFERROR(__xludf.DUMMYFUNCTION("""COMPUTED_VALUE"""),1.0)</f>
        <v>1</v>
      </c>
      <c r="M86" s="8">
        <f>IFERROR(__xludf.DUMMYFUNCTION("""COMPUTED_VALUE"""),0.0)</f>
        <v>0</v>
      </c>
      <c r="N86" s="8">
        <f>IFERROR(__xludf.DUMMYFUNCTION("""COMPUTED_VALUE"""),20.0)</f>
        <v>20</v>
      </c>
      <c r="O86" s="8"/>
      <c r="P86" s="8"/>
      <c r="Q86" s="8"/>
      <c r="R86" s="8"/>
      <c r="S86" s="8"/>
      <c r="T86" s="8"/>
      <c r="U86" s="8"/>
      <c r="V86" s="8"/>
      <c r="W86" s="8"/>
      <c r="X86" s="8"/>
      <c r="Y86" s="8"/>
      <c r="Z86" s="8"/>
    </row>
    <row r="87">
      <c r="A87" s="8">
        <f>IFERROR(__xludf.DUMMYFUNCTION("""COMPUTED_VALUE"""),87.0)</f>
        <v>87</v>
      </c>
      <c r="B87" s="8" t="str">
        <f>IFERROR(__xludf.DUMMYFUNCTION("""COMPUTED_VALUE"""),"cashew")</f>
        <v>cashew</v>
      </c>
      <c r="C87" s="8" t="str">
        <f>IFERROR(__xludf.DUMMYFUNCTION("""COMPUTED_VALUE"""),"graft")</f>
        <v>graft</v>
      </c>
      <c r="D87" s="55" t="str">
        <f>IFERROR(__xludf.DUMMYFUNCTION("""COMPUTED_VALUE"""),"Anacardium occidentale")</f>
        <v>Anacardium occidentale</v>
      </c>
      <c r="E87" s="8" t="str">
        <f>IFERROR(__xludf.DUMMYFUNCTION("""COMPUTED_VALUE"""),"X3264 (Yellow)")</f>
        <v>X3264 (Yellow)</v>
      </c>
      <c r="F87" s="8" t="str">
        <f>IFERROR(__xludf.DUMMYFUNCTION("""COMPUTED_VALUE"""),"Cashew")</f>
        <v>Cashew</v>
      </c>
      <c r="G87" s="8" t="str">
        <f>IFERROR(__xludf.DUMMYFUNCTION("""COMPUTED_VALUE"""),"Anacardier")</f>
        <v>Anacardier</v>
      </c>
      <c r="H87" s="8" t="str">
        <f>IFERROR(__xludf.DUMMYFUNCTION("""COMPUTED_VALUE"""),"graft")</f>
        <v>graft</v>
      </c>
      <c r="I87" s="8" t="str">
        <f>IFERROR(__xludf.DUMMYFUNCTION("""COMPUTED_VALUE"""),"C087")</f>
        <v>C087</v>
      </c>
      <c r="J87" s="8" t="str">
        <f>IFERROR(__xludf.DUMMYFUNCTION("""COMPUTED_VALUE"""),"08N04")</f>
        <v>08N04</v>
      </c>
      <c r="K87" s="8"/>
      <c r="L87" s="8">
        <f>IFERROR(__xludf.DUMMYFUNCTION("""COMPUTED_VALUE"""),1.0)</f>
        <v>1</v>
      </c>
      <c r="M87" s="8">
        <f>IFERROR(__xludf.DUMMYFUNCTION("""COMPUTED_VALUE"""),0.0)</f>
        <v>0</v>
      </c>
      <c r="N87" s="8">
        <f>IFERROR(__xludf.DUMMYFUNCTION("""COMPUTED_VALUE"""),20.0)</f>
        <v>20</v>
      </c>
      <c r="O87" s="8"/>
      <c r="P87" s="8"/>
      <c r="Q87" s="8"/>
      <c r="R87" s="8"/>
      <c r="S87" s="8"/>
      <c r="T87" s="8"/>
      <c r="U87" s="8"/>
      <c r="V87" s="8"/>
      <c r="W87" s="8"/>
      <c r="X87" s="8"/>
      <c r="Y87" s="8"/>
      <c r="Z87" s="8"/>
    </row>
    <row r="88">
      <c r="A88" s="8">
        <f>IFERROR(__xludf.DUMMYFUNCTION("""COMPUTED_VALUE"""),88.0)</f>
        <v>88</v>
      </c>
      <c r="B88" s="8" t="str">
        <f>IFERROR(__xludf.DUMMYFUNCTION("""COMPUTED_VALUE"""),"cashew")</f>
        <v>cashew</v>
      </c>
      <c r="C88" s="8" t="str">
        <f>IFERROR(__xludf.DUMMYFUNCTION("""COMPUTED_VALUE"""),"graft")</f>
        <v>graft</v>
      </c>
      <c r="D88" s="55" t="str">
        <f>IFERROR(__xludf.DUMMYFUNCTION("""COMPUTED_VALUE"""),"Anacardium occidentale")</f>
        <v>Anacardium occidentale</v>
      </c>
      <c r="E88" s="8" t="str">
        <f>IFERROR(__xludf.DUMMYFUNCTION("""COMPUTED_VALUE"""),"X3264 (Yellow)")</f>
        <v>X3264 (Yellow)</v>
      </c>
      <c r="F88" s="8" t="str">
        <f>IFERROR(__xludf.DUMMYFUNCTION("""COMPUTED_VALUE"""),"Cashew")</f>
        <v>Cashew</v>
      </c>
      <c r="G88" s="8" t="str">
        <f>IFERROR(__xludf.DUMMYFUNCTION("""COMPUTED_VALUE"""),"Anacardier")</f>
        <v>Anacardier</v>
      </c>
      <c r="H88" s="8" t="str">
        <f>IFERROR(__xludf.DUMMYFUNCTION("""COMPUTED_VALUE"""),"graft")</f>
        <v>graft</v>
      </c>
      <c r="I88" s="8" t="str">
        <f>IFERROR(__xludf.DUMMYFUNCTION("""COMPUTED_VALUE"""),"C088")</f>
        <v>C088</v>
      </c>
      <c r="J88" s="8" t="str">
        <f>IFERROR(__xludf.DUMMYFUNCTION("""COMPUTED_VALUE"""),"08N05")</f>
        <v>08N05</v>
      </c>
      <c r="K88" s="8"/>
      <c r="L88" s="8">
        <f>IFERROR(__xludf.DUMMYFUNCTION("""COMPUTED_VALUE"""),1.0)</f>
        <v>1</v>
      </c>
      <c r="M88" s="8">
        <f>IFERROR(__xludf.DUMMYFUNCTION("""COMPUTED_VALUE"""),0.0)</f>
        <v>0</v>
      </c>
      <c r="N88" s="8">
        <f>IFERROR(__xludf.DUMMYFUNCTION("""COMPUTED_VALUE"""),20.0)</f>
        <v>20</v>
      </c>
      <c r="O88" s="8"/>
      <c r="P88" s="8"/>
      <c r="Q88" s="8"/>
      <c r="R88" s="8"/>
      <c r="S88" s="8"/>
      <c r="T88" s="8"/>
      <c r="U88" s="8"/>
      <c r="V88" s="8"/>
      <c r="W88" s="8"/>
      <c r="X88" s="8"/>
      <c r="Y88" s="8"/>
      <c r="Z88" s="8"/>
    </row>
    <row r="89">
      <c r="A89" s="8">
        <f>IFERROR(__xludf.DUMMYFUNCTION("""COMPUTED_VALUE"""),89.0)</f>
        <v>89</v>
      </c>
      <c r="B89" s="8" t="str">
        <f>IFERROR(__xludf.DUMMYFUNCTION("""COMPUTED_VALUE"""),"cashew")</f>
        <v>cashew</v>
      </c>
      <c r="C89" s="8" t="str">
        <f>IFERROR(__xludf.DUMMYFUNCTION("""COMPUTED_VALUE"""),"graft")</f>
        <v>graft</v>
      </c>
      <c r="D89" s="55" t="str">
        <f>IFERROR(__xludf.DUMMYFUNCTION("""COMPUTED_VALUE"""),"Anacardium occidentale")</f>
        <v>Anacardium occidentale</v>
      </c>
      <c r="E89" s="8" t="str">
        <f>IFERROR(__xludf.DUMMYFUNCTION("""COMPUTED_VALUE"""),"X3264 (Yellow)")</f>
        <v>X3264 (Yellow)</v>
      </c>
      <c r="F89" s="8" t="str">
        <f>IFERROR(__xludf.DUMMYFUNCTION("""COMPUTED_VALUE"""),"Cashew")</f>
        <v>Cashew</v>
      </c>
      <c r="G89" s="8" t="str">
        <f>IFERROR(__xludf.DUMMYFUNCTION("""COMPUTED_VALUE"""),"Anacardier")</f>
        <v>Anacardier</v>
      </c>
      <c r="H89" s="8" t="str">
        <f>IFERROR(__xludf.DUMMYFUNCTION("""COMPUTED_VALUE"""),"graft")</f>
        <v>graft</v>
      </c>
      <c r="I89" s="8" t="str">
        <f>IFERROR(__xludf.DUMMYFUNCTION("""COMPUTED_VALUE"""),"C089")</f>
        <v>C089</v>
      </c>
      <c r="J89" s="8" t="str">
        <f>IFERROR(__xludf.DUMMYFUNCTION("""COMPUTED_VALUE"""),"08N06")</f>
        <v>08N06</v>
      </c>
      <c r="K89" s="8"/>
      <c r="L89" s="8">
        <f>IFERROR(__xludf.DUMMYFUNCTION("""COMPUTED_VALUE"""),1.0)</f>
        <v>1</v>
      </c>
      <c r="M89" s="8">
        <f>IFERROR(__xludf.DUMMYFUNCTION("""COMPUTED_VALUE"""),0.0)</f>
        <v>0</v>
      </c>
      <c r="N89" s="8">
        <f>IFERROR(__xludf.DUMMYFUNCTION("""COMPUTED_VALUE"""),20.0)</f>
        <v>20</v>
      </c>
      <c r="O89" s="8"/>
      <c r="P89" s="8"/>
      <c r="Q89" s="8"/>
      <c r="R89" s="8"/>
      <c r="S89" s="8"/>
      <c r="T89" s="8"/>
      <c r="U89" s="8"/>
      <c r="V89" s="8"/>
      <c r="W89" s="8"/>
      <c r="X89" s="8"/>
      <c r="Y89" s="8"/>
      <c r="Z89" s="8"/>
    </row>
    <row r="90">
      <c r="A90" s="8">
        <f>IFERROR(__xludf.DUMMYFUNCTION("""COMPUTED_VALUE"""),90.0)</f>
        <v>90</v>
      </c>
      <c r="B90" s="8" t="str">
        <f>IFERROR(__xludf.DUMMYFUNCTION("""COMPUTED_VALUE"""),"cashew")</f>
        <v>cashew</v>
      </c>
      <c r="C90" s="8" t="str">
        <f>IFERROR(__xludf.DUMMYFUNCTION("""COMPUTED_VALUE"""),"graft")</f>
        <v>graft</v>
      </c>
      <c r="D90" s="55" t="str">
        <f>IFERROR(__xludf.DUMMYFUNCTION("""COMPUTED_VALUE"""),"Anacardium occidentale")</f>
        <v>Anacardium occidentale</v>
      </c>
      <c r="E90" s="8" t="str">
        <f>IFERROR(__xludf.DUMMYFUNCTION("""COMPUTED_VALUE"""),"Z330 (Orange)")</f>
        <v>Z330 (Orange)</v>
      </c>
      <c r="F90" s="8" t="str">
        <f>IFERROR(__xludf.DUMMYFUNCTION("""COMPUTED_VALUE"""),"Cashew")</f>
        <v>Cashew</v>
      </c>
      <c r="G90" s="8" t="str">
        <f>IFERROR(__xludf.DUMMYFUNCTION("""COMPUTED_VALUE"""),"Anacardier")</f>
        <v>Anacardier</v>
      </c>
      <c r="H90" s="8" t="str">
        <f>IFERROR(__xludf.DUMMYFUNCTION("""COMPUTED_VALUE"""),"graft")</f>
        <v>graft</v>
      </c>
      <c r="I90" s="8" t="str">
        <f>IFERROR(__xludf.DUMMYFUNCTION("""COMPUTED_VALUE"""),"C090")</f>
        <v>C090</v>
      </c>
      <c r="J90" s="8" t="str">
        <f>IFERROR(__xludf.DUMMYFUNCTION("""COMPUTED_VALUE"""),"08N07")</f>
        <v>08N07</v>
      </c>
      <c r="K90" s="8"/>
      <c r="L90" s="8">
        <f>IFERROR(__xludf.DUMMYFUNCTION("""COMPUTED_VALUE"""),1.0)</f>
        <v>1</v>
      </c>
      <c r="M90" s="8">
        <f>IFERROR(__xludf.DUMMYFUNCTION("""COMPUTED_VALUE"""),0.0)</f>
        <v>0</v>
      </c>
      <c r="N90" s="8">
        <f>IFERROR(__xludf.DUMMYFUNCTION("""COMPUTED_VALUE"""),23.0)</f>
        <v>23</v>
      </c>
      <c r="O90" s="8"/>
      <c r="P90" s="8"/>
      <c r="Q90" s="8"/>
      <c r="R90" s="8"/>
      <c r="S90" s="8"/>
      <c r="T90" s="8"/>
      <c r="U90" s="8"/>
      <c r="V90" s="8"/>
      <c r="W90" s="8"/>
      <c r="X90" s="8"/>
      <c r="Y90" s="8"/>
      <c r="Z90" s="8"/>
    </row>
    <row r="91">
      <c r="A91" s="8">
        <f>IFERROR(__xludf.DUMMYFUNCTION("""COMPUTED_VALUE"""),91.0)</f>
        <v>91</v>
      </c>
      <c r="B91" s="8" t="str">
        <f>IFERROR(__xludf.DUMMYFUNCTION("""COMPUTED_VALUE"""),"cashew")</f>
        <v>cashew</v>
      </c>
      <c r="C91" s="8" t="str">
        <f>IFERROR(__xludf.DUMMYFUNCTION("""COMPUTED_VALUE"""),"graft")</f>
        <v>graft</v>
      </c>
      <c r="D91" s="55" t="str">
        <f>IFERROR(__xludf.DUMMYFUNCTION("""COMPUTED_VALUE"""),"Anacardium occidentale")</f>
        <v>Anacardium occidentale</v>
      </c>
      <c r="E91" s="8" t="str">
        <f>IFERROR(__xludf.DUMMYFUNCTION("""COMPUTED_VALUE"""),"Z330 (Orange)")</f>
        <v>Z330 (Orange)</v>
      </c>
      <c r="F91" s="8" t="str">
        <f>IFERROR(__xludf.DUMMYFUNCTION("""COMPUTED_VALUE"""),"Cashew")</f>
        <v>Cashew</v>
      </c>
      <c r="G91" s="8" t="str">
        <f>IFERROR(__xludf.DUMMYFUNCTION("""COMPUTED_VALUE"""),"Anacardier")</f>
        <v>Anacardier</v>
      </c>
      <c r="H91" s="8" t="str">
        <f>IFERROR(__xludf.DUMMYFUNCTION("""COMPUTED_VALUE"""),"graft")</f>
        <v>graft</v>
      </c>
      <c r="I91" s="8" t="str">
        <f>IFERROR(__xludf.DUMMYFUNCTION("""COMPUTED_VALUE"""),"C091")</f>
        <v>C091</v>
      </c>
      <c r="J91" s="8" t="str">
        <f>IFERROR(__xludf.DUMMYFUNCTION("""COMPUTED_VALUE"""),"08N08")</f>
        <v>08N08</v>
      </c>
      <c r="K91" s="8"/>
      <c r="L91" s="8">
        <f>IFERROR(__xludf.DUMMYFUNCTION("""COMPUTED_VALUE"""),1.0)</f>
        <v>1</v>
      </c>
      <c r="M91" s="8">
        <f>IFERROR(__xludf.DUMMYFUNCTION("""COMPUTED_VALUE"""),0.0)</f>
        <v>0</v>
      </c>
      <c r="N91" s="8">
        <f>IFERROR(__xludf.DUMMYFUNCTION("""COMPUTED_VALUE"""),23.0)</f>
        <v>23</v>
      </c>
      <c r="O91" s="8"/>
      <c r="P91" s="8"/>
      <c r="Q91" s="8"/>
      <c r="R91" s="8"/>
      <c r="S91" s="8"/>
      <c r="T91" s="8"/>
      <c r="U91" s="8"/>
      <c r="V91" s="8"/>
      <c r="W91" s="8"/>
      <c r="X91" s="8"/>
      <c r="Y91" s="8"/>
      <c r="Z91" s="8"/>
    </row>
    <row r="92">
      <c r="A92" s="8">
        <f>IFERROR(__xludf.DUMMYFUNCTION("""COMPUTED_VALUE"""),92.0)</f>
        <v>92</v>
      </c>
      <c r="B92" s="8" t="str">
        <f>IFERROR(__xludf.DUMMYFUNCTION("""COMPUTED_VALUE"""),"cashew")</f>
        <v>cashew</v>
      </c>
      <c r="C92" s="8" t="str">
        <f>IFERROR(__xludf.DUMMYFUNCTION("""COMPUTED_VALUE"""),"graft")</f>
        <v>graft</v>
      </c>
      <c r="D92" s="55" t="str">
        <f>IFERROR(__xludf.DUMMYFUNCTION("""COMPUTED_VALUE"""),"Anacardium occidentale")</f>
        <v>Anacardium occidentale</v>
      </c>
      <c r="E92" s="8" t="str">
        <f>IFERROR(__xludf.DUMMYFUNCTION("""COMPUTED_VALUE"""),"Z330 (Orange)")</f>
        <v>Z330 (Orange)</v>
      </c>
      <c r="F92" s="8" t="str">
        <f>IFERROR(__xludf.DUMMYFUNCTION("""COMPUTED_VALUE"""),"Cashew")</f>
        <v>Cashew</v>
      </c>
      <c r="G92" s="8" t="str">
        <f>IFERROR(__xludf.DUMMYFUNCTION("""COMPUTED_VALUE"""),"Anacardier")</f>
        <v>Anacardier</v>
      </c>
      <c r="H92" s="8" t="str">
        <f>IFERROR(__xludf.DUMMYFUNCTION("""COMPUTED_VALUE"""),"graft")</f>
        <v>graft</v>
      </c>
      <c r="I92" s="8" t="str">
        <f>IFERROR(__xludf.DUMMYFUNCTION("""COMPUTED_VALUE"""),"C092")</f>
        <v>C092</v>
      </c>
      <c r="J92" s="8" t="str">
        <f>IFERROR(__xludf.DUMMYFUNCTION("""COMPUTED_VALUE"""),"08N09")</f>
        <v>08N09</v>
      </c>
      <c r="K92" s="8"/>
      <c r="L92" s="8">
        <f>IFERROR(__xludf.DUMMYFUNCTION("""COMPUTED_VALUE"""),1.0)</f>
        <v>1</v>
      </c>
      <c r="M92" s="8">
        <f>IFERROR(__xludf.DUMMYFUNCTION("""COMPUTED_VALUE"""),0.0)</f>
        <v>0</v>
      </c>
      <c r="N92" s="8">
        <f>IFERROR(__xludf.DUMMYFUNCTION("""COMPUTED_VALUE"""),23.0)</f>
        <v>23</v>
      </c>
      <c r="O92" s="8"/>
      <c r="P92" s="8"/>
      <c r="Q92" s="8"/>
      <c r="R92" s="8"/>
      <c r="S92" s="8"/>
      <c r="T92" s="8"/>
      <c r="U92" s="8"/>
      <c r="V92" s="8"/>
      <c r="W92" s="8"/>
      <c r="X92" s="8"/>
      <c r="Y92" s="8"/>
      <c r="Z92" s="8"/>
    </row>
    <row r="93">
      <c r="A93" s="8">
        <f>IFERROR(__xludf.DUMMYFUNCTION("""COMPUTED_VALUE"""),93.0)</f>
        <v>93</v>
      </c>
      <c r="B93" s="8" t="str">
        <f>IFERROR(__xludf.DUMMYFUNCTION("""COMPUTED_VALUE"""),"cashew")</f>
        <v>cashew</v>
      </c>
      <c r="C93" s="8" t="str">
        <f>IFERROR(__xludf.DUMMYFUNCTION("""COMPUTED_VALUE"""),"graft")</f>
        <v>graft</v>
      </c>
      <c r="D93" s="55" t="str">
        <f>IFERROR(__xludf.DUMMYFUNCTION("""COMPUTED_VALUE"""),"Anacardium occidentale")</f>
        <v>Anacardium occidentale</v>
      </c>
      <c r="E93" s="8" t="str">
        <f>IFERROR(__xludf.DUMMYFUNCTION("""COMPUTED_VALUE"""),"Z330 (Orange)")</f>
        <v>Z330 (Orange)</v>
      </c>
      <c r="F93" s="8" t="str">
        <f>IFERROR(__xludf.DUMMYFUNCTION("""COMPUTED_VALUE"""),"Cashew")</f>
        <v>Cashew</v>
      </c>
      <c r="G93" s="8" t="str">
        <f>IFERROR(__xludf.DUMMYFUNCTION("""COMPUTED_VALUE"""),"Anacardier")</f>
        <v>Anacardier</v>
      </c>
      <c r="H93" s="8" t="str">
        <f>IFERROR(__xludf.DUMMYFUNCTION("""COMPUTED_VALUE"""),"graft")</f>
        <v>graft</v>
      </c>
      <c r="I93" s="8" t="str">
        <f>IFERROR(__xludf.DUMMYFUNCTION("""COMPUTED_VALUE"""),"C093")</f>
        <v>C093</v>
      </c>
      <c r="J93" s="8" t="str">
        <f>IFERROR(__xludf.DUMMYFUNCTION("""COMPUTED_VALUE"""),"08N10")</f>
        <v>08N10</v>
      </c>
      <c r="K93" s="8"/>
      <c r="L93" s="8">
        <f>IFERROR(__xludf.DUMMYFUNCTION("""COMPUTED_VALUE"""),1.0)</f>
        <v>1</v>
      </c>
      <c r="M93" s="8">
        <f>IFERROR(__xludf.DUMMYFUNCTION("""COMPUTED_VALUE"""),0.0)</f>
        <v>0</v>
      </c>
      <c r="N93" s="8">
        <f>IFERROR(__xludf.DUMMYFUNCTION("""COMPUTED_VALUE"""),23.0)</f>
        <v>23</v>
      </c>
      <c r="O93" s="8"/>
      <c r="P93" s="8"/>
      <c r="Q93" s="8"/>
      <c r="R93" s="8"/>
      <c r="S93" s="8"/>
      <c r="T93" s="8"/>
      <c r="U93" s="8"/>
      <c r="V93" s="8"/>
      <c r="W93" s="8"/>
      <c r="X93" s="8"/>
      <c r="Y93" s="8"/>
      <c r="Z93" s="8"/>
    </row>
    <row r="94">
      <c r="A94" s="8">
        <f>IFERROR(__xludf.DUMMYFUNCTION("""COMPUTED_VALUE"""),94.0)</f>
        <v>94</v>
      </c>
      <c r="B94" s="8" t="str">
        <f>IFERROR(__xludf.DUMMYFUNCTION("""COMPUTED_VALUE"""),"cashew")</f>
        <v>cashew</v>
      </c>
      <c r="C94" s="8" t="str">
        <f>IFERROR(__xludf.DUMMYFUNCTION("""COMPUTED_VALUE"""),"graft")</f>
        <v>graft</v>
      </c>
      <c r="D94" s="55" t="str">
        <f>IFERROR(__xludf.DUMMYFUNCTION("""COMPUTED_VALUE"""),"Anacardium occidentale")</f>
        <v>Anacardium occidentale</v>
      </c>
      <c r="E94" s="8" t="str">
        <f>IFERROR(__xludf.DUMMYFUNCTION("""COMPUTED_VALUE"""),"Z330 (Orange)")</f>
        <v>Z330 (Orange)</v>
      </c>
      <c r="F94" s="8" t="str">
        <f>IFERROR(__xludf.DUMMYFUNCTION("""COMPUTED_VALUE"""),"Cashew")</f>
        <v>Cashew</v>
      </c>
      <c r="G94" s="8" t="str">
        <f>IFERROR(__xludf.DUMMYFUNCTION("""COMPUTED_VALUE"""),"Anacardier")</f>
        <v>Anacardier</v>
      </c>
      <c r="H94" s="8" t="str">
        <f>IFERROR(__xludf.DUMMYFUNCTION("""COMPUTED_VALUE"""),"graft")</f>
        <v>graft</v>
      </c>
      <c r="I94" s="8" t="str">
        <f>IFERROR(__xludf.DUMMYFUNCTION("""COMPUTED_VALUE"""),"C094")</f>
        <v>C094</v>
      </c>
      <c r="J94" s="8" t="str">
        <f>IFERROR(__xludf.DUMMYFUNCTION("""COMPUTED_VALUE"""),"08N11")</f>
        <v>08N11</v>
      </c>
      <c r="K94" s="8"/>
      <c r="L94" s="8">
        <f>IFERROR(__xludf.DUMMYFUNCTION("""COMPUTED_VALUE"""),1.0)</f>
        <v>1</v>
      </c>
      <c r="M94" s="8">
        <f>IFERROR(__xludf.DUMMYFUNCTION("""COMPUTED_VALUE"""),0.0)</f>
        <v>0</v>
      </c>
      <c r="N94" s="8">
        <f>IFERROR(__xludf.DUMMYFUNCTION("""COMPUTED_VALUE"""),23.0)</f>
        <v>23</v>
      </c>
      <c r="O94" s="8"/>
      <c r="P94" s="8"/>
      <c r="Q94" s="8"/>
      <c r="R94" s="8"/>
      <c r="S94" s="8"/>
      <c r="T94" s="8"/>
      <c r="U94" s="8"/>
      <c r="V94" s="8"/>
      <c r="W94" s="8"/>
      <c r="X94" s="8"/>
      <c r="Y94" s="8"/>
      <c r="Z94" s="8"/>
    </row>
    <row r="95">
      <c r="A95" s="8">
        <f>IFERROR(__xludf.DUMMYFUNCTION("""COMPUTED_VALUE"""),95.0)</f>
        <v>95</v>
      </c>
      <c r="B95" s="8" t="str">
        <f>IFERROR(__xludf.DUMMYFUNCTION("""COMPUTED_VALUE"""),"cashew")</f>
        <v>cashew</v>
      </c>
      <c r="C95" s="8" t="str">
        <f>IFERROR(__xludf.DUMMYFUNCTION("""COMPUTED_VALUE"""),"graft")</f>
        <v>graft</v>
      </c>
      <c r="D95" s="55" t="str">
        <f>IFERROR(__xludf.DUMMYFUNCTION("""COMPUTED_VALUE"""),"Anacardium occidentale")</f>
        <v>Anacardium occidentale</v>
      </c>
      <c r="E95" s="8" t="str">
        <f>IFERROR(__xludf.DUMMYFUNCTION("""COMPUTED_VALUE"""),"Z330 (Orange)")</f>
        <v>Z330 (Orange)</v>
      </c>
      <c r="F95" s="8" t="str">
        <f>IFERROR(__xludf.DUMMYFUNCTION("""COMPUTED_VALUE"""),"Cashew")</f>
        <v>Cashew</v>
      </c>
      <c r="G95" s="8" t="str">
        <f>IFERROR(__xludf.DUMMYFUNCTION("""COMPUTED_VALUE"""),"Anacardier")</f>
        <v>Anacardier</v>
      </c>
      <c r="H95" s="8" t="str">
        <f>IFERROR(__xludf.DUMMYFUNCTION("""COMPUTED_VALUE"""),"graft")</f>
        <v>graft</v>
      </c>
      <c r="I95" s="8" t="str">
        <f>IFERROR(__xludf.DUMMYFUNCTION("""COMPUTED_VALUE"""),"C095")</f>
        <v>C095</v>
      </c>
      <c r="J95" s="8" t="str">
        <f>IFERROR(__xludf.DUMMYFUNCTION("""COMPUTED_VALUE"""),"08N12")</f>
        <v>08N12</v>
      </c>
      <c r="K95" s="8"/>
      <c r="L95" s="8">
        <f>IFERROR(__xludf.DUMMYFUNCTION("""COMPUTED_VALUE"""),1.0)</f>
        <v>1</v>
      </c>
      <c r="M95" s="8">
        <f>IFERROR(__xludf.DUMMYFUNCTION("""COMPUTED_VALUE"""),0.0)</f>
        <v>0</v>
      </c>
      <c r="N95" s="8">
        <f>IFERROR(__xludf.DUMMYFUNCTION("""COMPUTED_VALUE"""),23.0)</f>
        <v>23</v>
      </c>
      <c r="O95" s="8"/>
      <c r="P95" s="8"/>
      <c r="Q95" s="8"/>
      <c r="R95" s="8"/>
      <c r="S95" s="8"/>
      <c r="T95" s="8"/>
      <c r="U95" s="8"/>
      <c r="V95" s="8"/>
      <c r="W95" s="8"/>
      <c r="X95" s="8"/>
      <c r="Y95" s="8"/>
      <c r="Z95" s="8"/>
    </row>
    <row r="96">
      <c r="A96" s="8">
        <f>IFERROR(__xludf.DUMMYFUNCTION("""COMPUTED_VALUE"""),96.0)</f>
        <v>96</v>
      </c>
      <c r="B96" s="8" t="str">
        <f>IFERROR(__xludf.DUMMYFUNCTION("""COMPUTED_VALUE"""),"cashew")</f>
        <v>cashew</v>
      </c>
      <c r="C96" s="8" t="str">
        <f>IFERROR(__xludf.DUMMYFUNCTION("""COMPUTED_VALUE"""),"graft")</f>
        <v>graft</v>
      </c>
      <c r="D96" s="55" t="str">
        <f>IFERROR(__xludf.DUMMYFUNCTION("""COMPUTED_VALUE"""),"Anacardium occidentale")</f>
        <v>Anacardium occidentale</v>
      </c>
      <c r="E96" s="8" t="str">
        <f>IFERROR(__xludf.DUMMYFUNCTION("""COMPUTED_VALUE"""),"X4297 (Red)")</f>
        <v>X4297 (Red)</v>
      </c>
      <c r="F96" s="8" t="str">
        <f>IFERROR(__xludf.DUMMYFUNCTION("""COMPUTED_VALUE"""),"Cashew")</f>
        <v>Cashew</v>
      </c>
      <c r="G96" s="8" t="str">
        <f>IFERROR(__xludf.DUMMYFUNCTION("""COMPUTED_VALUE"""),"Anacardier")</f>
        <v>Anacardier</v>
      </c>
      <c r="H96" s="8" t="str">
        <f>IFERROR(__xludf.DUMMYFUNCTION("""COMPUTED_VALUE"""),"graft")</f>
        <v>graft</v>
      </c>
      <c r="I96" s="8" t="str">
        <f>IFERROR(__xludf.DUMMYFUNCTION("""COMPUTED_VALUE"""),"C096")</f>
        <v>C096</v>
      </c>
      <c r="J96" s="8" t="str">
        <f>IFERROR(__xludf.DUMMYFUNCTION("""COMPUTED_VALUE"""),"09N01")</f>
        <v>09N01</v>
      </c>
      <c r="K96" s="8"/>
      <c r="L96" s="8">
        <f>IFERROR(__xludf.DUMMYFUNCTION("""COMPUTED_VALUE"""),1.0)</f>
        <v>1</v>
      </c>
      <c r="M96" s="8">
        <f>IFERROR(__xludf.DUMMYFUNCTION("""COMPUTED_VALUE"""),0.0)</f>
        <v>0</v>
      </c>
      <c r="N96" s="8">
        <f>IFERROR(__xludf.DUMMYFUNCTION("""COMPUTED_VALUE"""),22.0)</f>
        <v>22</v>
      </c>
      <c r="O96" s="8"/>
      <c r="P96" s="8"/>
      <c r="Q96" s="8"/>
      <c r="R96" s="8"/>
      <c r="S96" s="8"/>
      <c r="T96" s="8"/>
      <c r="U96" s="8"/>
      <c r="V96" s="8"/>
      <c r="W96" s="8"/>
      <c r="X96" s="8"/>
      <c r="Y96" s="8"/>
      <c r="Z96" s="8"/>
    </row>
    <row r="97">
      <c r="A97" s="8">
        <f>IFERROR(__xludf.DUMMYFUNCTION("""COMPUTED_VALUE"""),97.0)</f>
        <v>97</v>
      </c>
      <c r="B97" s="8" t="str">
        <f>IFERROR(__xludf.DUMMYFUNCTION("""COMPUTED_VALUE"""),"cashew")</f>
        <v>cashew</v>
      </c>
      <c r="C97" s="8" t="str">
        <f>IFERROR(__xludf.DUMMYFUNCTION("""COMPUTED_VALUE"""),"graft")</f>
        <v>graft</v>
      </c>
      <c r="D97" s="55" t="str">
        <f>IFERROR(__xludf.DUMMYFUNCTION("""COMPUTED_VALUE"""),"Anacardium occidentale")</f>
        <v>Anacardium occidentale</v>
      </c>
      <c r="E97" s="8" t="str">
        <f>IFERROR(__xludf.DUMMYFUNCTION("""COMPUTED_VALUE"""),"X4297 (Red)")</f>
        <v>X4297 (Red)</v>
      </c>
      <c r="F97" s="8" t="str">
        <f>IFERROR(__xludf.DUMMYFUNCTION("""COMPUTED_VALUE"""),"Cashew")</f>
        <v>Cashew</v>
      </c>
      <c r="G97" s="8" t="str">
        <f>IFERROR(__xludf.DUMMYFUNCTION("""COMPUTED_VALUE"""),"Anacardier")</f>
        <v>Anacardier</v>
      </c>
      <c r="H97" s="8" t="str">
        <f>IFERROR(__xludf.DUMMYFUNCTION("""COMPUTED_VALUE"""),"graft")</f>
        <v>graft</v>
      </c>
      <c r="I97" s="8" t="str">
        <f>IFERROR(__xludf.DUMMYFUNCTION("""COMPUTED_VALUE"""),"C097")</f>
        <v>C097</v>
      </c>
      <c r="J97" s="8" t="str">
        <f>IFERROR(__xludf.DUMMYFUNCTION("""COMPUTED_VALUE"""),"09N02")</f>
        <v>09N02</v>
      </c>
      <c r="K97" s="8"/>
      <c r="L97" s="8">
        <f>IFERROR(__xludf.DUMMYFUNCTION("""COMPUTED_VALUE"""),1.0)</f>
        <v>1</v>
      </c>
      <c r="M97" s="8">
        <f>IFERROR(__xludf.DUMMYFUNCTION("""COMPUTED_VALUE"""),0.0)</f>
        <v>0</v>
      </c>
      <c r="N97" s="8">
        <f>IFERROR(__xludf.DUMMYFUNCTION("""COMPUTED_VALUE"""),22.0)</f>
        <v>22</v>
      </c>
      <c r="O97" s="8"/>
      <c r="P97" s="8"/>
      <c r="Q97" s="8"/>
      <c r="R97" s="8"/>
      <c r="S97" s="8"/>
      <c r="T97" s="8"/>
      <c r="U97" s="8"/>
      <c r="V97" s="8"/>
      <c r="W97" s="8"/>
      <c r="X97" s="8"/>
      <c r="Y97" s="8"/>
      <c r="Z97" s="8"/>
    </row>
    <row r="98">
      <c r="A98" s="8">
        <f>IFERROR(__xludf.DUMMYFUNCTION("""COMPUTED_VALUE"""),98.0)</f>
        <v>98</v>
      </c>
      <c r="B98" s="8" t="str">
        <f>IFERROR(__xludf.DUMMYFUNCTION("""COMPUTED_VALUE"""),"cashew")</f>
        <v>cashew</v>
      </c>
      <c r="C98" s="8" t="str">
        <f>IFERROR(__xludf.DUMMYFUNCTION("""COMPUTED_VALUE"""),"graft")</f>
        <v>graft</v>
      </c>
      <c r="D98" s="55" t="str">
        <f>IFERROR(__xludf.DUMMYFUNCTION("""COMPUTED_VALUE"""),"Anacardium occidentale")</f>
        <v>Anacardium occidentale</v>
      </c>
      <c r="E98" s="8" t="str">
        <f>IFERROR(__xludf.DUMMYFUNCTION("""COMPUTED_VALUE"""),"X4297 (Red)")</f>
        <v>X4297 (Red)</v>
      </c>
      <c r="F98" s="8" t="str">
        <f>IFERROR(__xludf.DUMMYFUNCTION("""COMPUTED_VALUE"""),"Cashew")</f>
        <v>Cashew</v>
      </c>
      <c r="G98" s="8" t="str">
        <f>IFERROR(__xludf.DUMMYFUNCTION("""COMPUTED_VALUE"""),"Anacardier")</f>
        <v>Anacardier</v>
      </c>
      <c r="H98" s="8" t="str">
        <f>IFERROR(__xludf.DUMMYFUNCTION("""COMPUTED_VALUE"""),"graft")</f>
        <v>graft</v>
      </c>
      <c r="I98" s="8" t="str">
        <f>IFERROR(__xludf.DUMMYFUNCTION("""COMPUTED_VALUE"""),"C098")</f>
        <v>C098</v>
      </c>
      <c r="J98" s="8" t="str">
        <f>IFERROR(__xludf.DUMMYFUNCTION("""COMPUTED_VALUE"""),"09N03")</f>
        <v>09N03</v>
      </c>
      <c r="K98" s="8"/>
      <c r="L98" s="8">
        <f>IFERROR(__xludf.DUMMYFUNCTION("""COMPUTED_VALUE"""),1.0)</f>
        <v>1</v>
      </c>
      <c r="M98" s="8">
        <f>IFERROR(__xludf.DUMMYFUNCTION("""COMPUTED_VALUE"""),0.0)</f>
        <v>0</v>
      </c>
      <c r="N98" s="8">
        <f>IFERROR(__xludf.DUMMYFUNCTION("""COMPUTED_VALUE"""),22.0)</f>
        <v>22</v>
      </c>
      <c r="O98" s="8"/>
      <c r="P98" s="8"/>
      <c r="Q98" s="8"/>
      <c r="R98" s="8"/>
      <c r="S98" s="8"/>
      <c r="T98" s="8"/>
      <c r="U98" s="8"/>
      <c r="V98" s="8"/>
      <c r="W98" s="8"/>
      <c r="X98" s="8"/>
      <c r="Y98" s="8"/>
      <c r="Z98" s="8"/>
    </row>
    <row r="99">
      <c r="A99" s="8">
        <f>IFERROR(__xludf.DUMMYFUNCTION("""COMPUTED_VALUE"""),99.0)</f>
        <v>99</v>
      </c>
      <c r="B99" s="8" t="str">
        <f>IFERROR(__xludf.DUMMYFUNCTION("""COMPUTED_VALUE"""),"cashew")</f>
        <v>cashew</v>
      </c>
      <c r="C99" s="8" t="str">
        <f>IFERROR(__xludf.DUMMYFUNCTION("""COMPUTED_VALUE"""),"graft")</f>
        <v>graft</v>
      </c>
      <c r="D99" s="55" t="str">
        <f>IFERROR(__xludf.DUMMYFUNCTION("""COMPUTED_VALUE"""),"Anacardium occidentale")</f>
        <v>Anacardium occidentale</v>
      </c>
      <c r="E99" s="8" t="str">
        <f>IFERROR(__xludf.DUMMYFUNCTION("""COMPUTED_VALUE"""),"X4297 (Red)")</f>
        <v>X4297 (Red)</v>
      </c>
      <c r="F99" s="8" t="str">
        <f>IFERROR(__xludf.DUMMYFUNCTION("""COMPUTED_VALUE"""),"Cashew")</f>
        <v>Cashew</v>
      </c>
      <c r="G99" s="8" t="str">
        <f>IFERROR(__xludf.DUMMYFUNCTION("""COMPUTED_VALUE"""),"Anacardier")</f>
        <v>Anacardier</v>
      </c>
      <c r="H99" s="8" t="str">
        <f>IFERROR(__xludf.DUMMYFUNCTION("""COMPUTED_VALUE"""),"graft")</f>
        <v>graft</v>
      </c>
      <c r="I99" s="8" t="str">
        <f>IFERROR(__xludf.DUMMYFUNCTION("""COMPUTED_VALUE"""),"C099")</f>
        <v>C099</v>
      </c>
      <c r="J99" s="8" t="str">
        <f>IFERROR(__xludf.DUMMYFUNCTION("""COMPUTED_VALUE"""),"09N04")</f>
        <v>09N04</v>
      </c>
      <c r="K99" s="8"/>
      <c r="L99" s="8">
        <f>IFERROR(__xludf.DUMMYFUNCTION("""COMPUTED_VALUE"""),1.0)</f>
        <v>1</v>
      </c>
      <c r="M99" s="8">
        <f>IFERROR(__xludf.DUMMYFUNCTION("""COMPUTED_VALUE"""),0.0)</f>
        <v>0</v>
      </c>
      <c r="N99" s="8">
        <f>IFERROR(__xludf.DUMMYFUNCTION("""COMPUTED_VALUE"""),22.0)</f>
        <v>22</v>
      </c>
      <c r="O99" s="8"/>
      <c r="P99" s="8"/>
      <c r="Q99" s="8"/>
      <c r="R99" s="8"/>
      <c r="S99" s="8"/>
      <c r="T99" s="8"/>
      <c r="U99" s="8"/>
      <c r="V99" s="8"/>
      <c r="W99" s="8"/>
      <c r="X99" s="8"/>
      <c r="Y99" s="8"/>
      <c r="Z99" s="8"/>
    </row>
    <row r="100">
      <c r="A100" s="8">
        <f>IFERROR(__xludf.DUMMYFUNCTION("""COMPUTED_VALUE"""),100.0)</f>
        <v>100</v>
      </c>
      <c r="B100" s="8" t="str">
        <f>IFERROR(__xludf.DUMMYFUNCTION("""COMPUTED_VALUE"""),"cashew")</f>
        <v>cashew</v>
      </c>
      <c r="C100" s="8" t="str">
        <f>IFERROR(__xludf.DUMMYFUNCTION("""COMPUTED_VALUE"""),"graft")</f>
        <v>graft</v>
      </c>
      <c r="D100" s="55" t="str">
        <f>IFERROR(__xludf.DUMMYFUNCTION("""COMPUTED_VALUE"""),"Anacardium occidentale")</f>
        <v>Anacardium occidentale</v>
      </c>
      <c r="E100" s="8" t="str">
        <f>IFERROR(__xludf.DUMMYFUNCTION("""COMPUTED_VALUE"""),"X4297 (Red)")</f>
        <v>X4297 (Red)</v>
      </c>
      <c r="F100" s="8" t="str">
        <f>IFERROR(__xludf.DUMMYFUNCTION("""COMPUTED_VALUE"""),"Cashew")</f>
        <v>Cashew</v>
      </c>
      <c r="G100" s="8" t="str">
        <f>IFERROR(__xludf.DUMMYFUNCTION("""COMPUTED_VALUE"""),"Anacardier")</f>
        <v>Anacardier</v>
      </c>
      <c r="H100" s="8" t="str">
        <f>IFERROR(__xludf.DUMMYFUNCTION("""COMPUTED_VALUE"""),"graft")</f>
        <v>graft</v>
      </c>
      <c r="I100" s="8" t="str">
        <f>IFERROR(__xludf.DUMMYFUNCTION("""COMPUTED_VALUE"""),"C100")</f>
        <v>C100</v>
      </c>
      <c r="J100" s="8" t="str">
        <f>IFERROR(__xludf.DUMMYFUNCTION("""COMPUTED_VALUE"""),"09N05")</f>
        <v>09N05</v>
      </c>
      <c r="K100" s="8"/>
      <c r="L100" s="8">
        <f>IFERROR(__xludf.DUMMYFUNCTION("""COMPUTED_VALUE"""),1.0)</f>
        <v>1</v>
      </c>
      <c r="M100" s="8">
        <f>IFERROR(__xludf.DUMMYFUNCTION("""COMPUTED_VALUE"""),0.0)</f>
        <v>0</v>
      </c>
      <c r="N100" s="8">
        <f>IFERROR(__xludf.DUMMYFUNCTION("""COMPUTED_VALUE"""),22.0)</f>
        <v>22</v>
      </c>
      <c r="O100" s="8"/>
      <c r="P100" s="8"/>
      <c r="Q100" s="8"/>
      <c r="R100" s="8"/>
      <c r="S100" s="8"/>
      <c r="T100" s="8"/>
      <c r="U100" s="8"/>
      <c r="V100" s="8"/>
      <c r="W100" s="8"/>
      <c r="X100" s="8"/>
      <c r="Y100" s="8"/>
      <c r="Z100" s="8"/>
    </row>
    <row r="101">
      <c r="A101" s="8">
        <f>IFERROR(__xludf.DUMMYFUNCTION("""COMPUTED_VALUE"""),101.0)</f>
        <v>101</v>
      </c>
      <c r="B101" s="8" t="str">
        <f>IFERROR(__xludf.DUMMYFUNCTION("""COMPUTED_VALUE"""),"cashew")</f>
        <v>cashew</v>
      </c>
      <c r="C101" s="8" t="str">
        <f>IFERROR(__xludf.DUMMYFUNCTION("""COMPUTED_VALUE"""),"graft")</f>
        <v>graft</v>
      </c>
      <c r="D101" s="55" t="str">
        <f>IFERROR(__xludf.DUMMYFUNCTION("""COMPUTED_VALUE"""),"Anacardium occidentale")</f>
        <v>Anacardium occidentale</v>
      </c>
      <c r="E101" s="8" t="str">
        <f>IFERROR(__xludf.DUMMYFUNCTION("""COMPUTED_VALUE"""),"X4297 (Red)")</f>
        <v>X4297 (Red)</v>
      </c>
      <c r="F101" s="8" t="str">
        <f>IFERROR(__xludf.DUMMYFUNCTION("""COMPUTED_VALUE"""),"Cashew")</f>
        <v>Cashew</v>
      </c>
      <c r="G101" s="8" t="str">
        <f>IFERROR(__xludf.DUMMYFUNCTION("""COMPUTED_VALUE"""),"Anacardier")</f>
        <v>Anacardier</v>
      </c>
      <c r="H101" s="8" t="str">
        <f>IFERROR(__xludf.DUMMYFUNCTION("""COMPUTED_VALUE"""),"graft")</f>
        <v>graft</v>
      </c>
      <c r="I101" s="8" t="str">
        <f>IFERROR(__xludf.DUMMYFUNCTION("""COMPUTED_VALUE"""),"C101")</f>
        <v>C101</v>
      </c>
      <c r="J101" s="8" t="str">
        <f>IFERROR(__xludf.DUMMYFUNCTION("""COMPUTED_VALUE"""),"09N06")</f>
        <v>09N06</v>
      </c>
      <c r="K101" s="8"/>
      <c r="L101" s="8">
        <f>IFERROR(__xludf.DUMMYFUNCTION("""COMPUTED_VALUE"""),1.0)</f>
        <v>1</v>
      </c>
      <c r="M101" s="8">
        <f>IFERROR(__xludf.DUMMYFUNCTION("""COMPUTED_VALUE"""),0.0)</f>
        <v>0</v>
      </c>
      <c r="N101" s="8">
        <f>IFERROR(__xludf.DUMMYFUNCTION("""COMPUTED_VALUE"""),22.0)</f>
        <v>22</v>
      </c>
      <c r="O101" s="8"/>
      <c r="P101" s="8"/>
      <c r="Q101" s="8"/>
      <c r="R101" s="8"/>
      <c r="S101" s="8"/>
      <c r="T101" s="8"/>
      <c r="U101" s="8"/>
      <c r="V101" s="8"/>
      <c r="W101" s="8"/>
      <c r="X101" s="8"/>
      <c r="Y101" s="8"/>
      <c r="Z101" s="8"/>
    </row>
    <row r="102">
      <c r="A102" s="8">
        <f>IFERROR(__xludf.DUMMYFUNCTION("""COMPUTED_VALUE"""),102.0)</f>
        <v>102</v>
      </c>
      <c r="B102" s="8" t="str">
        <f>IFERROR(__xludf.DUMMYFUNCTION("""COMPUTED_VALUE"""),"cashew")</f>
        <v>cashew</v>
      </c>
      <c r="C102" s="8" t="str">
        <f>IFERROR(__xludf.DUMMYFUNCTION("""COMPUTED_VALUE"""),"graft")</f>
        <v>graft</v>
      </c>
      <c r="D102" s="55" t="str">
        <f>IFERROR(__xludf.DUMMYFUNCTION("""COMPUTED_VALUE"""),"Anacardium occidentale")</f>
        <v>Anacardium occidentale</v>
      </c>
      <c r="E102" s="8" t="str">
        <f>IFERROR(__xludf.DUMMYFUNCTION("""COMPUTED_VALUE"""),"Z330 (Orange)")</f>
        <v>Z330 (Orange)</v>
      </c>
      <c r="F102" s="8" t="str">
        <f>IFERROR(__xludf.DUMMYFUNCTION("""COMPUTED_VALUE"""),"Cashew")</f>
        <v>Cashew</v>
      </c>
      <c r="G102" s="8" t="str">
        <f>IFERROR(__xludf.DUMMYFUNCTION("""COMPUTED_VALUE"""),"Anacardier")</f>
        <v>Anacardier</v>
      </c>
      <c r="H102" s="8" t="str">
        <f>IFERROR(__xludf.DUMMYFUNCTION("""COMPUTED_VALUE"""),"graft")</f>
        <v>graft</v>
      </c>
      <c r="I102" s="8" t="str">
        <f>IFERROR(__xludf.DUMMYFUNCTION("""COMPUTED_VALUE"""),"C102")</f>
        <v>C102</v>
      </c>
      <c r="J102" s="8" t="str">
        <f>IFERROR(__xludf.DUMMYFUNCTION("""COMPUTED_VALUE"""),"09N07")</f>
        <v>09N07</v>
      </c>
      <c r="K102" s="8"/>
      <c r="L102" s="8">
        <f>IFERROR(__xludf.DUMMYFUNCTION("""COMPUTED_VALUE"""),1.0)</f>
        <v>1</v>
      </c>
      <c r="M102" s="8">
        <f>IFERROR(__xludf.DUMMYFUNCTION("""COMPUTED_VALUE"""),0.0)</f>
        <v>0</v>
      </c>
      <c r="N102" s="8">
        <f>IFERROR(__xludf.DUMMYFUNCTION("""COMPUTED_VALUE"""),23.0)</f>
        <v>23</v>
      </c>
      <c r="O102" s="8"/>
      <c r="P102" s="8"/>
      <c r="Q102" s="8"/>
      <c r="R102" s="8"/>
      <c r="S102" s="8"/>
      <c r="T102" s="8"/>
      <c r="U102" s="8"/>
      <c r="V102" s="8"/>
      <c r="W102" s="8"/>
      <c r="X102" s="8"/>
      <c r="Y102" s="8"/>
      <c r="Z102" s="8"/>
    </row>
    <row r="103">
      <c r="A103" s="8">
        <f>IFERROR(__xludf.DUMMYFUNCTION("""COMPUTED_VALUE"""),103.0)</f>
        <v>103</v>
      </c>
      <c r="B103" s="8" t="str">
        <f>IFERROR(__xludf.DUMMYFUNCTION("""COMPUTED_VALUE"""),"cashew")</f>
        <v>cashew</v>
      </c>
      <c r="C103" s="8" t="str">
        <f>IFERROR(__xludf.DUMMYFUNCTION("""COMPUTED_VALUE"""),"graft")</f>
        <v>graft</v>
      </c>
      <c r="D103" s="55" t="str">
        <f>IFERROR(__xludf.DUMMYFUNCTION("""COMPUTED_VALUE"""),"Anacardium occidentale")</f>
        <v>Anacardium occidentale</v>
      </c>
      <c r="E103" s="8" t="str">
        <f>IFERROR(__xludf.DUMMYFUNCTION("""COMPUTED_VALUE"""),"Z330 (Orange)")</f>
        <v>Z330 (Orange)</v>
      </c>
      <c r="F103" s="8" t="str">
        <f>IFERROR(__xludf.DUMMYFUNCTION("""COMPUTED_VALUE"""),"Cashew")</f>
        <v>Cashew</v>
      </c>
      <c r="G103" s="8" t="str">
        <f>IFERROR(__xludf.DUMMYFUNCTION("""COMPUTED_VALUE"""),"Anacardier")</f>
        <v>Anacardier</v>
      </c>
      <c r="H103" s="8" t="str">
        <f>IFERROR(__xludf.DUMMYFUNCTION("""COMPUTED_VALUE"""),"graft")</f>
        <v>graft</v>
      </c>
      <c r="I103" s="8" t="str">
        <f>IFERROR(__xludf.DUMMYFUNCTION("""COMPUTED_VALUE"""),"C103")</f>
        <v>C103</v>
      </c>
      <c r="J103" s="8" t="str">
        <f>IFERROR(__xludf.DUMMYFUNCTION("""COMPUTED_VALUE"""),"09N08")</f>
        <v>09N08</v>
      </c>
      <c r="K103" s="8"/>
      <c r="L103" s="8">
        <f>IFERROR(__xludf.DUMMYFUNCTION("""COMPUTED_VALUE"""),1.0)</f>
        <v>1</v>
      </c>
      <c r="M103" s="8">
        <f>IFERROR(__xludf.DUMMYFUNCTION("""COMPUTED_VALUE"""),0.0)</f>
        <v>0</v>
      </c>
      <c r="N103" s="8">
        <f>IFERROR(__xludf.DUMMYFUNCTION("""COMPUTED_VALUE"""),23.0)</f>
        <v>23</v>
      </c>
      <c r="O103" s="8"/>
      <c r="P103" s="8"/>
      <c r="Q103" s="8"/>
      <c r="R103" s="8"/>
      <c r="S103" s="8"/>
      <c r="T103" s="8"/>
      <c r="U103" s="8"/>
      <c r="V103" s="8"/>
      <c r="W103" s="8"/>
      <c r="X103" s="8"/>
      <c r="Y103" s="8"/>
      <c r="Z103" s="8"/>
    </row>
    <row r="104">
      <c r="A104" s="8">
        <f>IFERROR(__xludf.DUMMYFUNCTION("""COMPUTED_VALUE"""),104.0)</f>
        <v>104</v>
      </c>
      <c r="B104" s="8" t="str">
        <f>IFERROR(__xludf.DUMMYFUNCTION("""COMPUTED_VALUE"""),"cashew")</f>
        <v>cashew</v>
      </c>
      <c r="C104" s="8" t="str">
        <f>IFERROR(__xludf.DUMMYFUNCTION("""COMPUTED_VALUE"""),"graft")</f>
        <v>graft</v>
      </c>
      <c r="D104" s="55" t="str">
        <f>IFERROR(__xludf.DUMMYFUNCTION("""COMPUTED_VALUE"""),"Anacardium occidentale")</f>
        <v>Anacardium occidentale</v>
      </c>
      <c r="E104" s="8" t="str">
        <f>IFERROR(__xludf.DUMMYFUNCTION("""COMPUTED_VALUE"""),"Z330 (Orange)")</f>
        <v>Z330 (Orange)</v>
      </c>
      <c r="F104" s="8" t="str">
        <f>IFERROR(__xludf.DUMMYFUNCTION("""COMPUTED_VALUE"""),"Cashew")</f>
        <v>Cashew</v>
      </c>
      <c r="G104" s="8" t="str">
        <f>IFERROR(__xludf.DUMMYFUNCTION("""COMPUTED_VALUE"""),"Anacardier")</f>
        <v>Anacardier</v>
      </c>
      <c r="H104" s="8" t="str">
        <f>IFERROR(__xludf.DUMMYFUNCTION("""COMPUTED_VALUE"""),"graft")</f>
        <v>graft</v>
      </c>
      <c r="I104" s="8" t="str">
        <f>IFERROR(__xludf.DUMMYFUNCTION("""COMPUTED_VALUE"""),"C104")</f>
        <v>C104</v>
      </c>
      <c r="J104" s="8" t="str">
        <f>IFERROR(__xludf.DUMMYFUNCTION("""COMPUTED_VALUE"""),"09N09")</f>
        <v>09N09</v>
      </c>
      <c r="K104" s="8"/>
      <c r="L104" s="8">
        <f>IFERROR(__xludf.DUMMYFUNCTION("""COMPUTED_VALUE"""),1.0)</f>
        <v>1</v>
      </c>
      <c r="M104" s="8">
        <f>IFERROR(__xludf.DUMMYFUNCTION("""COMPUTED_VALUE"""),0.0)</f>
        <v>0</v>
      </c>
      <c r="N104" s="8">
        <f>IFERROR(__xludf.DUMMYFUNCTION("""COMPUTED_VALUE"""),23.0)</f>
        <v>23</v>
      </c>
      <c r="O104" s="8"/>
      <c r="P104" s="8"/>
      <c r="Q104" s="8"/>
      <c r="R104" s="8"/>
      <c r="S104" s="8"/>
      <c r="T104" s="8"/>
      <c r="U104" s="8"/>
      <c r="V104" s="8"/>
      <c r="W104" s="8"/>
      <c r="X104" s="8"/>
      <c r="Y104" s="8"/>
      <c r="Z104" s="8"/>
    </row>
    <row r="105">
      <c r="A105" s="8">
        <f>IFERROR(__xludf.DUMMYFUNCTION("""COMPUTED_VALUE"""),105.0)</f>
        <v>105</v>
      </c>
      <c r="B105" s="8" t="str">
        <f>IFERROR(__xludf.DUMMYFUNCTION("""COMPUTED_VALUE"""),"cashew")</f>
        <v>cashew</v>
      </c>
      <c r="C105" s="8" t="str">
        <f>IFERROR(__xludf.DUMMYFUNCTION("""COMPUTED_VALUE"""),"graft")</f>
        <v>graft</v>
      </c>
      <c r="D105" s="55" t="str">
        <f>IFERROR(__xludf.DUMMYFUNCTION("""COMPUTED_VALUE"""),"Anacardium occidentale")</f>
        <v>Anacardium occidentale</v>
      </c>
      <c r="E105" s="8" t="str">
        <f>IFERROR(__xludf.DUMMYFUNCTION("""COMPUTED_VALUE"""),"Z330 (Orange)")</f>
        <v>Z330 (Orange)</v>
      </c>
      <c r="F105" s="8" t="str">
        <f>IFERROR(__xludf.DUMMYFUNCTION("""COMPUTED_VALUE"""),"Cashew")</f>
        <v>Cashew</v>
      </c>
      <c r="G105" s="8" t="str">
        <f>IFERROR(__xludf.DUMMYFUNCTION("""COMPUTED_VALUE"""),"Anacardier")</f>
        <v>Anacardier</v>
      </c>
      <c r="H105" s="8" t="str">
        <f>IFERROR(__xludf.DUMMYFUNCTION("""COMPUTED_VALUE"""),"graft")</f>
        <v>graft</v>
      </c>
      <c r="I105" s="8" t="str">
        <f>IFERROR(__xludf.DUMMYFUNCTION("""COMPUTED_VALUE"""),"C105")</f>
        <v>C105</v>
      </c>
      <c r="J105" s="8" t="str">
        <f>IFERROR(__xludf.DUMMYFUNCTION("""COMPUTED_VALUE"""),"09N10")</f>
        <v>09N10</v>
      </c>
      <c r="K105" s="8"/>
      <c r="L105" s="8">
        <f>IFERROR(__xludf.DUMMYFUNCTION("""COMPUTED_VALUE"""),1.0)</f>
        <v>1</v>
      </c>
      <c r="M105" s="8">
        <f>IFERROR(__xludf.DUMMYFUNCTION("""COMPUTED_VALUE"""),0.0)</f>
        <v>0</v>
      </c>
      <c r="N105" s="8">
        <f>IFERROR(__xludf.DUMMYFUNCTION("""COMPUTED_VALUE"""),23.0)</f>
        <v>23</v>
      </c>
      <c r="O105" s="8"/>
      <c r="P105" s="8"/>
      <c r="Q105" s="8"/>
      <c r="R105" s="8"/>
      <c r="S105" s="8"/>
      <c r="T105" s="8"/>
      <c r="U105" s="8"/>
      <c r="V105" s="8"/>
      <c r="W105" s="8"/>
      <c r="X105" s="8"/>
      <c r="Y105" s="8"/>
      <c r="Z105" s="8"/>
    </row>
    <row r="106">
      <c r="A106" s="8">
        <f>IFERROR(__xludf.DUMMYFUNCTION("""COMPUTED_VALUE"""),106.0)</f>
        <v>106</v>
      </c>
      <c r="B106" s="8" t="str">
        <f>IFERROR(__xludf.DUMMYFUNCTION("""COMPUTED_VALUE"""),"cashew")</f>
        <v>cashew</v>
      </c>
      <c r="C106" s="8" t="str">
        <f>IFERROR(__xludf.DUMMYFUNCTION("""COMPUTED_VALUE"""),"graft")</f>
        <v>graft</v>
      </c>
      <c r="D106" s="55" t="str">
        <f>IFERROR(__xludf.DUMMYFUNCTION("""COMPUTED_VALUE"""),"Anacardium occidentale")</f>
        <v>Anacardium occidentale</v>
      </c>
      <c r="E106" s="8" t="str">
        <f>IFERROR(__xludf.DUMMYFUNCTION("""COMPUTED_VALUE"""),"Z330 (Orange)")</f>
        <v>Z330 (Orange)</v>
      </c>
      <c r="F106" s="8" t="str">
        <f>IFERROR(__xludf.DUMMYFUNCTION("""COMPUTED_VALUE"""),"Cashew")</f>
        <v>Cashew</v>
      </c>
      <c r="G106" s="8" t="str">
        <f>IFERROR(__xludf.DUMMYFUNCTION("""COMPUTED_VALUE"""),"Anacardier")</f>
        <v>Anacardier</v>
      </c>
      <c r="H106" s="8" t="str">
        <f>IFERROR(__xludf.DUMMYFUNCTION("""COMPUTED_VALUE"""),"graft")</f>
        <v>graft</v>
      </c>
      <c r="I106" s="8" t="str">
        <f>IFERROR(__xludf.DUMMYFUNCTION("""COMPUTED_VALUE"""),"C106")</f>
        <v>C106</v>
      </c>
      <c r="J106" s="8" t="str">
        <f>IFERROR(__xludf.DUMMYFUNCTION("""COMPUTED_VALUE"""),"09N11")</f>
        <v>09N11</v>
      </c>
      <c r="K106" s="8"/>
      <c r="L106" s="8">
        <f>IFERROR(__xludf.DUMMYFUNCTION("""COMPUTED_VALUE"""),1.0)</f>
        <v>1</v>
      </c>
      <c r="M106" s="8">
        <f>IFERROR(__xludf.DUMMYFUNCTION("""COMPUTED_VALUE"""),0.0)</f>
        <v>0</v>
      </c>
      <c r="N106" s="8">
        <f>IFERROR(__xludf.DUMMYFUNCTION("""COMPUTED_VALUE"""),23.0)</f>
        <v>23</v>
      </c>
      <c r="O106" s="8"/>
      <c r="P106" s="8"/>
      <c r="Q106" s="8"/>
      <c r="R106" s="8"/>
      <c r="S106" s="8"/>
      <c r="T106" s="8"/>
      <c r="U106" s="8"/>
      <c r="V106" s="8"/>
      <c r="W106" s="8"/>
      <c r="X106" s="8"/>
      <c r="Y106" s="8"/>
      <c r="Z106" s="8"/>
    </row>
    <row r="107">
      <c r="A107" s="8">
        <f>IFERROR(__xludf.DUMMYFUNCTION("""COMPUTED_VALUE"""),107.0)</f>
        <v>107</v>
      </c>
      <c r="B107" s="8" t="str">
        <f>IFERROR(__xludf.DUMMYFUNCTION("""COMPUTED_VALUE"""),"cashew")</f>
        <v>cashew</v>
      </c>
      <c r="C107" s="8" t="str">
        <f>IFERROR(__xludf.DUMMYFUNCTION("""COMPUTED_VALUE"""),"graft")</f>
        <v>graft</v>
      </c>
      <c r="D107" s="55" t="str">
        <f>IFERROR(__xludf.DUMMYFUNCTION("""COMPUTED_VALUE"""),"Anacardium occidentale")</f>
        <v>Anacardium occidentale</v>
      </c>
      <c r="E107" s="8" t="str">
        <f>IFERROR(__xludf.DUMMYFUNCTION("""COMPUTED_VALUE"""),"Z330 (Orange)")</f>
        <v>Z330 (Orange)</v>
      </c>
      <c r="F107" s="8" t="str">
        <f>IFERROR(__xludf.DUMMYFUNCTION("""COMPUTED_VALUE"""),"Cashew")</f>
        <v>Cashew</v>
      </c>
      <c r="G107" s="8" t="str">
        <f>IFERROR(__xludf.DUMMYFUNCTION("""COMPUTED_VALUE"""),"Anacardier")</f>
        <v>Anacardier</v>
      </c>
      <c r="H107" s="8" t="str">
        <f>IFERROR(__xludf.DUMMYFUNCTION("""COMPUTED_VALUE"""),"graft")</f>
        <v>graft</v>
      </c>
      <c r="I107" s="8" t="str">
        <f>IFERROR(__xludf.DUMMYFUNCTION("""COMPUTED_VALUE"""),"C107")</f>
        <v>C107</v>
      </c>
      <c r="J107" s="8" t="str">
        <f>IFERROR(__xludf.DUMMYFUNCTION("""COMPUTED_VALUE"""),"09N12")</f>
        <v>09N12</v>
      </c>
      <c r="K107" s="8"/>
      <c r="L107" s="8">
        <f>IFERROR(__xludf.DUMMYFUNCTION("""COMPUTED_VALUE"""),1.0)</f>
        <v>1</v>
      </c>
      <c r="M107" s="8">
        <f>IFERROR(__xludf.DUMMYFUNCTION("""COMPUTED_VALUE"""),0.0)</f>
        <v>0</v>
      </c>
      <c r="N107" s="8">
        <f>IFERROR(__xludf.DUMMYFUNCTION("""COMPUTED_VALUE"""),23.0)</f>
        <v>23</v>
      </c>
      <c r="O107" s="8"/>
      <c r="P107" s="8"/>
      <c r="Q107" s="8"/>
      <c r="R107" s="8"/>
      <c r="S107" s="8"/>
      <c r="T107" s="8"/>
      <c r="U107" s="8"/>
      <c r="V107" s="8"/>
      <c r="W107" s="8"/>
      <c r="X107" s="8"/>
      <c r="Y107" s="8"/>
      <c r="Z107" s="8"/>
    </row>
    <row r="108">
      <c r="A108" s="8">
        <f>IFERROR(__xludf.DUMMYFUNCTION("""COMPUTED_VALUE"""),108.0)</f>
        <v>108</v>
      </c>
      <c r="B108" s="8" t="str">
        <f>IFERROR(__xludf.DUMMYFUNCTION("""COMPUTED_VALUE"""),"cashew")</f>
        <v>cashew</v>
      </c>
      <c r="C108" s="8" t="str">
        <f>IFERROR(__xludf.DUMMYFUNCTION("""COMPUTED_VALUE"""),"graft")</f>
        <v>graft</v>
      </c>
      <c r="D108" s="55" t="str">
        <f>IFERROR(__xludf.DUMMYFUNCTION("""COMPUTED_VALUE"""),"Anacardium occidentale")</f>
        <v>Anacardium occidentale</v>
      </c>
      <c r="E108" s="8" t="str">
        <f>IFERROR(__xludf.DUMMYFUNCTION("""COMPUTED_VALUE"""),"Z330 (Orange)")</f>
        <v>Z330 (Orange)</v>
      </c>
      <c r="F108" s="8" t="str">
        <f>IFERROR(__xludf.DUMMYFUNCTION("""COMPUTED_VALUE"""),"Cashew")</f>
        <v>Cashew</v>
      </c>
      <c r="G108" s="8" t="str">
        <f>IFERROR(__xludf.DUMMYFUNCTION("""COMPUTED_VALUE"""),"Anacardier")</f>
        <v>Anacardier</v>
      </c>
      <c r="H108" s="8" t="str">
        <f>IFERROR(__xludf.DUMMYFUNCTION("""COMPUTED_VALUE"""),"graft")</f>
        <v>graft</v>
      </c>
      <c r="I108" s="8" t="str">
        <f>IFERROR(__xludf.DUMMYFUNCTION("""COMPUTED_VALUE"""),"C108")</f>
        <v>C108</v>
      </c>
      <c r="J108" s="8" t="str">
        <f>IFERROR(__xludf.DUMMYFUNCTION("""COMPUTED_VALUE"""),"10N01")</f>
        <v>10N01</v>
      </c>
      <c r="K108" s="8"/>
      <c r="L108" s="8">
        <f>IFERROR(__xludf.DUMMYFUNCTION("""COMPUTED_VALUE"""),1.0)</f>
        <v>1</v>
      </c>
      <c r="M108" s="8">
        <f>IFERROR(__xludf.DUMMYFUNCTION("""COMPUTED_VALUE"""),0.0)</f>
        <v>0</v>
      </c>
      <c r="N108" s="8">
        <f>IFERROR(__xludf.DUMMYFUNCTION("""COMPUTED_VALUE"""),23.0)</f>
        <v>23</v>
      </c>
      <c r="O108" s="8"/>
      <c r="P108" s="8"/>
      <c r="Q108" s="8"/>
      <c r="R108" s="8"/>
      <c r="S108" s="8"/>
      <c r="T108" s="8"/>
      <c r="U108" s="8"/>
      <c r="V108" s="8"/>
      <c r="W108" s="8"/>
      <c r="X108" s="8"/>
      <c r="Y108" s="8"/>
      <c r="Z108" s="8"/>
    </row>
    <row r="109">
      <c r="A109" s="8">
        <f>IFERROR(__xludf.DUMMYFUNCTION("""COMPUTED_VALUE"""),109.0)</f>
        <v>109</v>
      </c>
      <c r="B109" s="8" t="str">
        <f>IFERROR(__xludf.DUMMYFUNCTION("""COMPUTED_VALUE"""),"cashew")</f>
        <v>cashew</v>
      </c>
      <c r="C109" s="8" t="str">
        <f>IFERROR(__xludf.DUMMYFUNCTION("""COMPUTED_VALUE"""),"graft")</f>
        <v>graft</v>
      </c>
      <c r="D109" s="55" t="str">
        <f>IFERROR(__xludf.DUMMYFUNCTION("""COMPUTED_VALUE"""),"Anacardium occidentale")</f>
        <v>Anacardium occidentale</v>
      </c>
      <c r="E109" s="8" t="str">
        <f>IFERROR(__xludf.DUMMYFUNCTION("""COMPUTED_VALUE"""),"Z330 (Orange)")</f>
        <v>Z330 (Orange)</v>
      </c>
      <c r="F109" s="8" t="str">
        <f>IFERROR(__xludf.DUMMYFUNCTION("""COMPUTED_VALUE"""),"Cashew")</f>
        <v>Cashew</v>
      </c>
      <c r="G109" s="8" t="str">
        <f>IFERROR(__xludf.DUMMYFUNCTION("""COMPUTED_VALUE"""),"Anacardier")</f>
        <v>Anacardier</v>
      </c>
      <c r="H109" s="8" t="str">
        <f>IFERROR(__xludf.DUMMYFUNCTION("""COMPUTED_VALUE"""),"graft")</f>
        <v>graft</v>
      </c>
      <c r="I109" s="8" t="str">
        <f>IFERROR(__xludf.DUMMYFUNCTION("""COMPUTED_VALUE"""),"C109")</f>
        <v>C109</v>
      </c>
      <c r="J109" s="8" t="str">
        <f>IFERROR(__xludf.DUMMYFUNCTION("""COMPUTED_VALUE"""),"10N02")</f>
        <v>10N02</v>
      </c>
      <c r="K109" s="8"/>
      <c r="L109" s="8">
        <f>IFERROR(__xludf.DUMMYFUNCTION("""COMPUTED_VALUE"""),1.0)</f>
        <v>1</v>
      </c>
      <c r="M109" s="8">
        <f>IFERROR(__xludf.DUMMYFUNCTION("""COMPUTED_VALUE"""),0.0)</f>
        <v>0</v>
      </c>
      <c r="N109" s="8">
        <f>IFERROR(__xludf.DUMMYFUNCTION("""COMPUTED_VALUE"""),23.0)</f>
        <v>23</v>
      </c>
      <c r="O109" s="8"/>
      <c r="P109" s="8"/>
      <c r="Q109" s="8"/>
      <c r="R109" s="8"/>
      <c r="S109" s="8"/>
      <c r="T109" s="8"/>
      <c r="U109" s="8"/>
      <c r="V109" s="8"/>
      <c r="W109" s="8"/>
      <c r="X109" s="8"/>
      <c r="Y109" s="8"/>
      <c r="Z109" s="8"/>
    </row>
    <row r="110">
      <c r="A110" s="8">
        <f>IFERROR(__xludf.DUMMYFUNCTION("""COMPUTED_VALUE"""),110.0)</f>
        <v>110</v>
      </c>
      <c r="B110" s="8" t="str">
        <f>IFERROR(__xludf.DUMMYFUNCTION("""COMPUTED_VALUE"""),"cashew")</f>
        <v>cashew</v>
      </c>
      <c r="C110" s="8" t="str">
        <f>IFERROR(__xludf.DUMMYFUNCTION("""COMPUTED_VALUE"""),"graft")</f>
        <v>graft</v>
      </c>
      <c r="D110" s="55" t="str">
        <f>IFERROR(__xludf.DUMMYFUNCTION("""COMPUTED_VALUE"""),"Anacardium occidentale")</f>
        <v>Anacardium occidentale</v>
      </c>
      <c r="E110" s="8" t="str">
        <f>IFERROR(__xludf.DUMMYFUNCTION("""COMPUTED_VALUE"""),"Z330 (Orange)")</f>
        <v>Z330 (Orange)</v>
      </c>
      <c r="F110" s="8" t="str">
        <f>IFERROR(__xludf.DUMMYFUNCTION("""COMPUTED_VALUE"""),"Cashew")</f>
        <v>Cashew</v>
      </c>
      <c r="G110" s="8" t="str">
        <f>IFERROR(__xludf.DUMMYFUNCTION("""COMPUTED_VALUE"""),"Anacardier")</f>
        <v>Anacardier</v>
      </c>
      <c r="H110" s="8" t="str">
        <f>IFERROR(__xludf.DUMMYFUNCTION("""COMPUTED_VALUE"""),"graft")</f>
        <v>graft</v>
      </c>
      <c r="I110" s="8" t="str">
        <f>IFERROR(__xludf.DUMMYFUNCTION("""COMPUTED_VALUE"""),"C110")</f>
        <v>C110</v>
      </c>
      <c r="J110" s="8" t="str">
        <f>IFERROR(__xludf.DUMMYFUNCTION("""COMPUTED_VALUE"""),"10N03")</f>
        <v>10N03</v>
      </c>
      <c r="K110" s="8"/>
      <c r="L110" s="8">
        <f>IFERROR(__xludf.DUMMYFUNCTION("""COMPUTED_VALUE"""),1.0)</f>
        <v>1</v>
      </c>
      <c r="M110" s="8">
        <f>IFERROR(__xludf.DUMMYFUNCTION("""COMPUTED_VALUE"""),0.0)</f>
        <v>0</v>
      </c>
      <c r="N110" s="8">
        <f>IFERROR(__xludf.DUMMYFUNCTION("""COMPUTED_VALUE"""),23.0)</f>
        <v>23</v>
      </c>
      <c r="O110" s="8"/>
      <c r="P110" s="8"/>
      <c r="Q110" s="8"/>
      <c r="R110" s="8"/>
      <c r="S110" s="8"/>
      <c r="T110" s="8"/>
      <c r="U110" s="8"/>
      <c r="V110" s="8"/>
      <c r="W110" s="8"/>
      <c r="X110" s="8"/>
      <c r="Y110" s="8"/>
      <c r="Z110" s="8"/>
    </row>
    <row r="111">
      <c r="A111" s="8">
        <f>IFERROR(__xludf.DUMMYFUNCTION("""COMPUTED_VALUE"""),111.0)</f>
        <v>111</v>
      </c>
      <c r="B111" s="8" t="str">
        <f>IFERROR(__xludf.DUMMYFUNCTION("""COMPUTED_VALUE"""),"cashew")</f>
        <v>cashew</v>
      </c>
      <c r="C111" s="8" t="str">
        <f>IFERROR(__xludf.DUMMYFUNCTION("""COMPUTED_VALUE"""),"graft")</f>
        <v>graft</v>
      </c>
      <c r="D111" s="55" t="str">
        <f>IFERROR(__xludf.DUMMYFUNCTION("""COMPUTED_VALUE"""),"Anacardium occidentale")</f>
        <v>Anacardium occidentale</v>
      </c>
      <c r="E111" s="8" t="str">
        <f>IFERROR(__xludf.DUMMYFUNCTION("""COMPUTED_VALUE"""),"Z330 (Orange)")</f>
        <v>Z330 (Orange)</v>
      </c>
      <c r="F111" s="8" t="str">
        <f>IFERROR(__xludf.DUMMYFUNCTION("""COMPUTED_VALUE"""),"Cashew")</f>
        <v>Cashew</v>
      </c>
      <c r="G111" s="8" t="str">
        <f>IFERROR(__xludf.DUMMYFUNCTION("""COMPUTED_VALUE"""),"Anacardier")</f>
        <v>Anacardier</v>
      </c>
      <c r="H111" s="8" t="str">
        <f>IFERROR(__xludf.DUMMYFUNCTION("""COMPUTED_VALUE"""),"graft")</f>
        <v>graft</v>
      </c>
      <c r="I111" s="8" t="str">
        <f>IFERROR(__xludf.DUMMYFUNCTION("""COMPUTED_VALUE"""),"C111")</f>
        <v>C111</v>
      </c>
      <c r="J111" s="8" t="str">
        <f>IFERROR(__xludf.DUMMYFUNCTION("""COMPUTED_VALUE"""),"10N04")</f>
        <v>10N04</v>
      </c>
      <c r="K111" s="8"/>
      <c r="L111" s="8">
        <f>IFERROR(__xludf.DUMMYFUNCTION("""COMPUTED_VALUE"""),1.0)</f>
        <v>1</v>
      </c>
      <c r="M111" s="8">
        <f>IFERROR(__xludf.DUMMYFUNCTION("""COMPUTED_VALUE"""),0.0)</f>
        <v>0</v>
      </c>
      <c r="N111" s="8">
        <f>IFERROR(__xludf.DUMMYFUNCTION("""COMPUTED_VALUE"""),23.0)</f>
        <v>23</v>
      </c>
      <c r="O111" s="8"/>
      <c r="P111" s="8"/>
      <c r="Q111" s="8"/>
      <c r="R111" s="8"/>
      <c r="S111" s="8"/>
      <c r="T111" s="8"/>
      <c r="U111" s="8"/>
      <c r="V111" s="8"/>
      <c r="W111" s="8"/>
      <c r="X111" s="8"/>
      <c r="Y111" s="8"/>
      <c r="Z111" s="8"/>
    </row>
    <row r="112">
      <c r="A112" s="8">
        <f>IFERROR(__xludf.DUMMYFUNCTION("""COMPUTED_VALUE"""),112.0)</f>
        <v>112</v>
      </c>
      <c r="B112" s="8" t="str">
        <f>IFERROR(__xludf.DUMMYFUNCTION("""COMPUTED_VALUE"""),"cashew")</f>
        <v>cashew</v>
      </c>
      <c r="C112" s="8" t="str">
        <f>IFERROR(__xludf.DUMMYFUNCTION("""COMPUTED_VALUE"""),"graft")</f>
        <v>graft</v>
      </c>
      <c r="D112" s="55" t="str">
        <f>IFERROR(__xludf.DUMMYFUNCTION("""COMPUTED_VALUE"""),"Anacardium occidentale")</f>
        <v>Anacardium occidentale</v>
      </c>
      <c r="E112" s="8" t="str">
        <f>IFERROR(__xludf.DUMMYFUNCTION("""COMPUTED_VALUE"""),"Z330 (Orange)")</f>
        <v>Z330 (Orange)</v>
      </c>
      <c r="F112" s="8" t="str">
        <f>IFERROR(__xludf.DUMMYFUNCTION("""COMPUTED_VALUE"""),"Cashew")</f>
        <v>Cashew</v>
      </c>
      <c r="G112" s="8" t="str">
        <f>IFERROR(__xludf.DUMMYFUNCTION("""COMPUTED_VALUE"""),"Anacardier")</f>
        <v>Anacardier</v>
      </c>
      <c r="H112" s="8" t="str">
        <f>IFERROR(__xludf.DUMMYFUNCTION("""COMPUTED_VALUE"""),"graft")</f>
        <v>graft</v>
      </c>
      <c r="I112" s="8" t="str">
        <f>IFERROR(__xludf.DUMMYFUNCTION("""COMPUTED_VALUE"""),"C112")</f>
        <v>C112</v>
      </c>
      <c r="J112" s="8" t="str">
        <f>IFERROR(__xludf.DUMMYFUNCTION("""COMPUTED_VALUE"""),"10N05")</f>
        <v>10N05</v>
      </c>
      <c r="K112" s="8"/>
      <c r="L112" s="8">
        <f>IFERROR(__xludf.DUMMYFUNCTION("""COMPUTED_VALUE"""),1.0)</f>
        <v>1</v>
      </c>
      <c r="M112" s="8">
        <f>IFERROR(__xludf.DUMMYFUNCTION("""COMPUTED_VALUE"""),0.0)</f>
        <v>0</v>
      </c>
      <c r="N112" s="8">
        <f>IFERROR(__xludf.DUMMYFUNCTION("""COMPUTED_VALUE"""),23.0)</f>
        <v>23</v>
      </c>
      <c r="O112" s="8"/>
      <c r="P112" s="8"/>
      <c r="Q112" s="8"/>
      <c r="R112" s="8"/>
      <c r="S112" s="8"/>
      <c r="T112" s="8"/>
      <c r="U112" s="8"/>
      <c r="V112" s="8"/>
      <c r="W112" s="8"/>
      <c r="X112" s="8"/>
      <c r="Y112" s="8"/>
      <c r="Z112" s="8"/>
    </row>
    <row r="113">
      <c r="A113" s="8">
        <f>IFERROR(__xludf.DUMMYFUNCTION("""COMPUTED_VALUE"""),113.0)</f>
        <v>113</v>
      </c>
      <c r="B113" s="8" t="str">
        <f>IFERROR(__xludf.DUMMYFUNCTION("""COMPUTED_VALUE"""),"cashew")</f>
        <v>cashew</v>
      </c>
      <c r="C113" s="8" t="str">
        <f>IFERROR(__xludf.DUMMYFUNCTION("""COMPUTED_VALUE"""),"graft")</f>
        <v>graft</v>
      </c>
      <c r="D113" s="55" t="str">
        <f>IFERROR(__xludf.DUMMYFUNCTION("""COMPUTED_VALUE"""),"Anacardium occidentale")</f>
        <v>Anacardium occidentale</v>
      </c>
      <c r="E113" s="8" t="str">
        <f>IFERROR(__xludf.DUMMYFUNCTION("""COMPUTED_VALUE"""),"Z330 (Orange)")</f>
        <v>Z330 (Orange)</v>
      </c>
      <c r="F113" s="8" t="str">
        <f>IFERROR(__xludf.DUMMYFUNCTION("""COMPUTED_VALUE"""),"Cashew")</f>
        <v>Cashew</v>
      </c>
      <c r="G113" s="8" t="str">
        <f>IFERROR(__xludf.DUMMYFUNCTION("""COMPUTED_VALUE"""),"Anacardier")</f>
        <v>Anacardier</v>
      </c>
      <c r="H113" s="8" t="str">
        <f>IFERROR(__xludf.DUMMYFUNCTION("""COMPUTED_VALUE"""),"graft")</f>
        <v>graft</v>
      </c>
      <c r="I113" s="8" t="str">
        <f>IFERROR(__xludf.DUMMYFUNCTION("""COMPUTED_VALUE"""),"C113")</f>
        <v>C113</v>
      </c>
      <c r="J113" s="8" t="str">
        <f>IFERROR(__xludf.DUMMYFUNCTION("""COMPUTED_VALUE"""),"10N06")</f>
        <v>10N06</v>
      </c>
      <c r="K113" s="8"/>
      <c r="L113" s="8">
        <f>IFERROR(__xludf.DUMMYFUNCTION("""COMPUTED_VALUE"""),1.0)</f>
        <v>1</v>
      </c>
      <c r="M113" s="8">
        <f>IFERROR(__xludf.DUMMYFUNCTION("""COMPUTED_VALUE"""),0.0)</f>
        <v>0</v>
      </c>
      <c r="N113" s="8">
        <f>IFERROR(__xludf.DUMMYFUNCTION("""COMPUTED_VALUE"""),23.0)</f>
        <v>23</v>
      </c>
      <c r="O113" s="8"/>
      <c r="P113" s="8"/>
      <c r="Q113" s="8"/>
      <c r="R113" s="8"/>
      <c r="S113" s="8"/>
      <c r="T113" s="8"/>
      <c r="U113" s="8"/>
      <c r="V113" s="8"/>
      <c r="W113" s="8"/>
      <c r="X113" s="8"/>
      <c r="Y113" s="8"/>
      <c r="Z113" s="8"/>
    </row>
    <row r="114">
      <c r="A114" s="8">
        <f>IFERROR(__xludf.DUMMYFUNCTION("""COMPUTED_VALUE"""),114.0)</f>
        <v>114</v>
      </c>
      <c r="B114" s="8" t="str">
        <f>IFERROR(__xludf.DUMMYFUNCTION("""COMPUTED_VALUE"""),"cashew")</f>
        <v>cashew</v>
      </c>
      <c r="C114" s="8" t="str">
        <f>IFERROR(__xludf.DUMMYFUNCTION("""COMPUTED_VALUE"""),"graft")</f>
        <v>graft</v>
      </c>
      <c r="D114" s="55" t="str">
        <f>IFERROR(__xludf.DUMMYFUNCTION("""COMPUTED_VALUE"""),"Anacardium occidentale")</f>
        <v>Anacardium occidentale</v>
      </c>
      <c r="E114" s="8" t="str">
        <f>IFERROR(__xludf.DUMMYFUNCTION("""COMPUTED_VALUE"""),"Unknown")</f>
        <v>Unknown</v>
      </c>
      <c r="F114" s="8" t="str">
        <f>IFERROR(__xludf.DUMMYFUNCTION("""COMPUTED_VALUE"""),"Cashew")</f>
        <v>Cashew</v>
      </c>
      <c r="G114" s="8" t="str">
        <f>IFERROR(__xludf.DUMMYFUNCTION("""COMPUTED_VALUE"""),"Anacardier")</f>
        <v>Anacardier</v>
      </c>
      <c r="H114" s="8" t="str">
        <f>IFERROR(__xludf.DUMMYFUNCTION("""COMPUTED_VALUE"""),"graft")</f>
        <v>graft</v>
      </c>
      <c r="I114" s="8" t="str">
        <f>IFERROR(__xludf.DUMMYFUNCTION("""COMPUTED_VALUE"""),"C114")</f>
        <v>C114</v>
      </c>
      <c r="J114" s="8" t="str">
        <f>IFERROR(__xludf.DUMMYFUNCTION("""COMPUTED_VALUE"""),"10N07")</f>
        <v>10N07</v>
      </c>
      <c r="K114" s="8"/>
      <c r="L114" s="8">
        <f>IFERROR(__xludf.DUMMYFUNCTION("""COMPUTED_VALUE"""),1.0)</f>
        <v>1</v>
      </c>
      <c r="M114" s="8">
        <f>IFERROR(__xludf.DUMMYFUNCTION("""COMPUTED_VALUE"""),0.0)</f>
        <v>0</v>
      </c>
      <c r="N114" s="8">
        <f>IFERROR(__xludf.DUMMYFUNCTION("""COMPUTED_VALUE"""),12.0)</f>
        <v>12</v>
      </c>
      <c r="O114" s="8"/>
      <c r="P114" s="8"/>
      <c r="Q114" s="8"/>
      <c r="R114" s="8"/>
      <c r="S114" s="8"/>
      <c r="T114" s="8"/>
      <c r="U114" s="8"/>
      <c r="V114" s="8"/>
      <c r="W114" s="8"/>
      <c r="X114" s="8"/>
      <c r="Y114" s="8"/>
      <c r="Z114" s="8"/>
    </row>
    <row r="115">
      <c r="A115" s="8">
        <f>IFERROR(__xludf.DUMMYFUNCTION("""COMPUTED_VALUE"""),115.0)</f>
        <v>115</v>
      </c>
      <c r="B115" s="8" t="str">
        <f>IFERROR(__xludf.DUMMYFUNCTION("""COMPUTED_VALUE"""),"cashew")</f>
        <v>cashew</v>
      </c>
      <c r="C115" s="8" t="str">
        <f>IFERROR(__xludf.DUMMYFUNCTION("""COMPUTED_VALUE"""),"graft")</f>
        <v>graft</v>
      </c>
      <c r="D115" s="55" t="str">
        <f>IFERROR(__xludf.DUMMYFUNCTION("""COMPUTED_VALUE"""),"Anacardium occidentale")</f>
        <v>Anacardium occidentale</v>
      </c>
      <c r="E115" s="8" t="str">
        <f>IFERROR(__xludf.DUMMYFUNCTION("""COMPUTED_VALUE"""),"X3264 (Yellow)")</f>
        <v>X3264 (Yellow)</v>
      </c>
      <c r="F115" s="8" t="str">
        <f>IFERROR(__xludf.DUMMYFUNCTION("""COMPUTED_VALUE"""),"Cashew")</f>
        <v>Cashew</v>
      </c>
      <c r="G115" s="8" t="str">
        <f>IFERROR(__xludf.DUMMYFUNCTION("""COMPUTED_VALUE"""),"Anacardier")</f>
        <v>Anacardier</v>
      </c>
      <c r="H115" s="8" t="str">
        <f>IFERROR(__xludf.DUMMYFUNCTION("""COMPUTED_VALUE"""),"graft")</f>
        <v>graft</v>
      </c>
      <c r="I115" s="8" t="str">
        <f>IFERROR(__xludf.DUMMYFUNCTION("""COMPUTED_VALUE"""),"C115")</f>
        <v>C115</v>
      </c>
      <c r="J115" s="8" t="str">
        <f>IFERROR(__xludf.DUMMYFUNCTION("""COMPUTED_VALUE"""),"10N08")</f>
        <v>10N08</v>
      </c>
      <c r="K115" s="8"/>
      <c r="L115" s="8">
        <f>IFERROR(__xludf.DUMMYFUNCTION("""COMPUTED_VALUE"""),1.0)</f>
        <v>1</v>
      </c>
      <c r="M115" s="8">
        <f>IFERROR(__xludf.DUMMYFUNCTION("""COMPUTED_VALUE"""),0.0)</f>
        <v>0</v>
      </c>
      <c r="N115" s="8">
        <f>IFERROR(__xludf.DUMMYFUNCTION("""COMPUTED_VALUE"""),20.0)</f>
        <v>20</v>
      </c>
      <c r="O115" s="8"/>
      <c r="P115" s="8"/>
      <c r="Q115" s="8"/>
      <c r="R115" s="8"/>
      <c r="S115" s="8"/>
      <c r="T115" s="8"/>
      <c r="U115" s="8"/>
      <c r="V115" s="8"/>
      <c r="W115" s="8"/>
      <c r="X115" s="8"/>
      <c r="Y115" s="8"/>
      <c r="Z115" s="8"/>
    </row>
    <row r="116">
      <c r="A116" s="8">
        <f>IFERROR(__xludf.DUMMYFUNCTION("""COMPUTED_VALUE"""),116.0)</f>
        <v>116</v>
      </c>
      <c r="B116" s="8" t="str">
        <f>IFERROR(__xludf.DUMMYFUNCTION("""COMPUTED_VALUE"""),"cashew")</f>
        <v>cashew</v>
      </c>
      <c r="C116" s="8" t="str">
        <f>IFERROR(__xludf.DUMMYFUNCTION("""COMPUTED_VALUE"""),"graft")</f>
        <v>graft</v>
      </c>
      <c r="D116" s="55" t="str">
        <f>IFERROR(__xludf.DUMMYFUNCTION("""COMPUTED_VALUE"""),"Anacardium occidentale")</f>
        <v>Anacardium occidentale</v>
      </c>
      <c r="E116" s="8" t="str">
        <f>IFERROR(__xludf.DUMMYFUNCTION("""COMPUTED_VALUE"""),"X3264 (Yellow)")</f>
        <v>X3264 (Yellow)</v>
      </c>
      <c r="F116" s="8" t="str">
        <f>IFERROR(__xludf.DUMMYFUNCTION("""COMPUTED_VALUE"""),"Cashew")</f>
        <v>Cashew</v>
      </c>
      <c r="G116" s="8" t="str">
        <f>IFERROR(__xludf.DUMMYFUNCTION("""COMPUTED_VALUE"""),"Anacardier")</f>
        <v>Anacardier</v>
      </c>
      <c r="H116" s="8" t="str">
        <f>IFERROR(__xludf.DUMMYFUNCTION("""COMPUTED_VALUE"""),"graft")</f>
        <v>graft</v>
      </c>
      <c r="I116" s="8" t="str">
        <f>IFERROR(__xludf.DUMMYFUNCTION("""COMPUTED_VALUE"""),"C116")</f>
        <v>C116</v>
      </c>
      <c r="J116" s="8" t="str">
        <f>IFERROR(__xludf.DUMMYFUNCTION("""COMPUTED_VALUE"""),"10N09")</f>
        <v>10N09</v>
      </c>
      <c r="K116" s="8"/>
      <c r="L116" s="8">
        <f>IFERROR(__xludf.DUMMYFUNCTION("""COMPUTED_VALUE"""),1.0)</f>
        <v>1</v>
      </c>
      <c r="M116" s="8">
        <f>IFERROR(__xludf.DUMMYFUNCTION("""COMPUTED_VALUE"""),0.0)</f>
        <v>0</v>
      </c>
      <c r="N116" s="8">
        <f>IFERROR(__xludf.DUMMYFUNCTION("""COMPUTED_VALUE"""),20.0)</f>
        <v>20</v>
      </c>
      <c r="O116" s="8"/>
      <c r="P116" s="8"/>
      <c r="Q116" s="8"/>
      <c r="R116" s="8"/>
      <c r="S116" s="8"/>
      <c r="T116" s="8"/>
      <c r="U116" s="8"/>
      <c r="V116" s="8"/>
      <c r="W116" s="8"/>
      <c r="X116" s="8"/>
      <c r="Y116" s="8"/>
      <c r="Z116" s="8"/>
    </row>
    <row r="117">
      <c r="A117" s="8">
        <f>IFERROR(__xludf.DUMMYFUNCTION("""COMPUTED_VALUE"""),117.0)</f>
        <v>117</v>
      </c>
      <c r="B117" s="8" t="str">
        <f>IFERROR(__xludf.DUMMYFUNCTION("""COMPUTED_VALUE"""),"cashew")</f>
        <v>cashew</v>
      </c>
      <c r="C117" s="8" t="str">
        <f>IFERROR(__xludf.DUMMYFUNCTION("""COMPUTED_VALUE"""),"graft")</f>
        <v>graft</v>
      </c>
      <c r="D117" s="55" t="str">
        <f>IFERROR(__xludf.DUMMYFUNCTION("""COMPUTED_VALUE"""),"Anacardium occidentale")</f>
        <v>Anacardium occidentale</v>
      </c>
      <c r="E117" s="8" t="str">
        <f>IFERROR(__xludf.DUMMYFUNCTION("""COMPUTED_VALUE"""),"X3264 (Yellow)")</f>
        <v>X3264 (Yellow)</v>
      </c>
      <c r="F117" s="8" t="str">
        <f>IFERROR(__xludf.DUMMYFUNCTION("""COMPUTED_VALUE"""),"Cashew")</f>
        <v>Cashew</v>
      </c>
      <c r="G117" s="8" t="str">
        <f>IFERROR(__xludf.DUMMYFUNCTION("""COMPUTED_VALUE"""),"Anacardier")</f>
        <v>Anacardier</v>
      </c>
      <c r="H117" s="8" t="str">
        <f>IFERROR(__xludf.DUMMYFUNCTION("""COMPUTED_VALUE"""),"graft")</f>
        <v>graft</v>
      </c>
      <c r="I117" s="8" t="str">
        <f>IFERROR(__xludf.DUMMYFUNCTION("""COMPUTED_VALUE"""),"C117")</f>
        <v>C117</v>
      </c>
      <c r="J117" s="8" t="str">
        <f>IFERROR(__xludf.DUMMYFUNCTION("""COMPUTED_VALUE"""),"10N10")</f>
        <v>10N10</v>
      </c>
      <c r="K117" s="8"/>
      <c r="L117" s="8">
        <f>IFERROR(__xludf.DUMMYFUNCTION("""COMPUTED_VALUE"""),1.0)</f>
        <v>1</v>
      </c>
      <c r="M117" s="8">
        <f>IFERROR(__xludf.DUMMYFUNCTION("""COMPUTED_VALUE"""),0.0)</f>
        <v>0</v>
      </c>
      <c r="N117" s="8">
        <f>IFERROR(__xludf.DUMMYFUNCTION("""COMPUTED_VALUE"""),20.0)</f>
        <v>20</v>
      </c>
      <c r="O117" s="8"/>
      <c r="P117" s="8"/>
      <c r="Q117" s="8"/>
      <c r="R117" s="8"/>
      <c r="S117" s="8"/>
      <c r="T117" s="8"/>
      <c r="U117" s="8"/>
      <c r="V117" s="8"/>
      <c r="W117" s="8"/>
      <c r="X117" s="8"/>
      <c r="Y117" s="8"/>
      <c r="Z117" s="8"/>
    </row>
    <row r="118">
      <c r="A118" s="8">
        <f>IFERROR(__xludf.DUMMYFUNCTION("""COMPUTED_VALUE"""),118.0)</f>
        <v>118</v>
      </c>
      <c r="B118" s="8" t="str">
        <f>IFERROR(__xludf.DUMMYFUNCTION("""COMPUTED_VALUE"""),"cashew")</f>
        <v>cashew</v>
      </c>
      <c r="C118" s="8" t="str">
        <f>IFERROR(__xludf.DUMMYFUNCTION("""COMPUTED_VALUE"""),"graft")</f>
        <v>graft</v>
      </c>
      <c r="D118" s="55" t="str">
        <f>IFERROR(__xludf.DUMMYFUNCTION("""COMPUTED_VALUE"""),"Anacardium occidentale")</f>
        <v>Anacardium occidentale</v>
      </c>
      <c r="E118" s="8" t="str">
        <f>IFERROR(__xludf.DUMMYFUNCTION("""COMPUTED_VALUE"""),"X3264 (Yellow)")</f>
        <v>X3264 (Yellow)</v>
      </c>
      <c r="F118" s="8" t="str">
        <f>IFERROR(__xludf.DUMMYFUNCTION("""COMPUTED_VALUE"""),"Cashew")</f>
        <v>Cashew</v>
      </c>
      <c r="G118" s="8" t="str">
        <f>IFERROR(__xludf.DUMMYFUNCTION("""COMPUTED_VALUE"""),"Anacardier")</f>
        <v>Anacardier</v>
      </c>
      <c r="H118" s="8" t="str">
        <f>IFERROR(__xludf.DUMMYFUNCTION("""COMPUTED_VALUE"""),"graft")</f>
        <v>graft</v>
      </c>
      <c r="I118" s="8" t="str">
        <f>IFERROR(__xludf.DUMMYFUNCTION("""COMPUTED_VALUE"""),"C118")</f>
        <v>C118</v>
      </c>
      <c r="J118" s="8" t="str">
        <f>IFERROR(__xludf.DUMMYFUNCTION("""COMPUTED_VALUE"""),"10N11")</f>
        <v>10N11</v>
      </c>
      <c r="K118" s="8"/>
      <c r="L118" s="8">
        <f>IFERROR(__xludf.DUMMYFUNCTION("""COMPUTED_VALUE"""),1.0)</f>
        <v>1</v>
      </c>
      <c r="M118" s="8">
        <f>IFERROR(__xludf.DUMMYFUNCTION("""COMPUTED_VALUE"""),0.0)</f>
        <v>0</v>
      </c>
      <c r="N118" s="8">
        <f>IFERROR(__xludf.DUMMYFUNCTION("""COMPUTED_VALUE"""),20.0)</f>
        <v>20</v>
      </c>
      <c r="O118" s="8"/>
      <c r="P118" s="8"/>
      <c r="Q118" s="8"/>
      <c r="R118" s="8"/>
      <c r="S118" s="8"/>
      <c r="T118" s="8"/>
      <c r="U118" s="8"/>
      <c r="V118" s="8"/>
      <c r="W118" s="8"/>
      <c r="X118" s="8"/>
      <c r="Y118" s="8"/>
      <c r="Z118" s="8"/>
    </row>
    <row r="119">
      <c r="A119" s="8">
        <f>IFERROR(__xludf.DUMMYFUNCTION("""COMPUTED_VALUE"""),119.0)</f>
        <v>119</v>
      </c>
      <c r="B119" s="8" t="str">
        <f>IFERROR(__xludf.DUMMYFUNCTION("""COMPUTED_VALUE"""),"cashew")</f>
        <v>cashew</v>
      </c>
      <c r="C119" s="8" t="str">
        <f>IFERROR(__xludf.DUMMYFUNCTION("""COMPUTED_VALUE"""),"graft")</f>
        <v>graft</v>
      </c>
      <c r="D119" s="55" t="str">
        <f>IFERROR(__xludf.DUMMYFUNCTION("""COMPUTED_VALUE"""),"Anacardium occidentale")</f>
        <v>Anacardium occidentale</v>
      </c>
      <c r="E119" s="8" t="str">
        <f>IFERROR(__xludf.DUMMYFUNCTION("""COMPUTED_VALUE"""),"X3264 (Yellow)")</f>
        <v>X3264 (Yellow)</v>
      </c>
      <c r="F119" s="8" t="str">
        <f>IFERROR(__xludf.DUMMYFUNCTION("""COMPUTED_VALUE"""),"Cashew")</f>
        <v>Cashew</v>
      </c>
      <c r="G119" s="8" t="str">
        <f>IFERROR(__xludf.DUMMYFUNCTION("""COMPUTED_VALUE"""),"Anacardier")</f>
        <v>Anacardier</v>
      </c>
      <c r="H119" s="8" t="str">
        <f>IFERROR(__xludf.DUMMYFUNCTION("""COMPUTED_VALUE"""),"graft")</f>
        <v>graft</v>
      </c>
      <c r="I119" s="8" t="str">
        <f>IFERROR(__xludf.DUMMYFUNCTION("""COMPUTED_VALUE"""),"C119")</f>
        <v>C119</v>
      </c>
      <c r="J119" s="8" t="str">
        <f>IFERROR(__xludf.DUMMYFUNCTION("""COMPUTED_VALUE"""),"10N12")</f>
        <v>10N12</v>
      </c>
      <c r="K119" s="8"/>
      <c r="L119" s="8">
        <f>IFERROR(__xludf.DUMMYFUNCTION("""COMPUTED_VALUE"""),1.0)</f>
        <v>1</v>
      </c>
      <c r="M119" s="8">
        <f>IFERROR(__xludf.DUMMYFUNCTION("""COMPUTED_VALUE"""),0.0)</f>
        <v>0</v>
      </c>
      <c r="N119" s="8">
        <f>IFERROR(__xludf.DUMMYFUNCTION("""COMPUTED_VALUE"""),20.0)</f>
        <v>20</v>
      </c>
      <c r="O119" s="8"/>
      <c r="P119" s="8"/>
      <c r="Q119" s="8"/>
      <c r="R119" s="8"/>
      <c r="S119" s="8"/>
      <c r="T119" s="8"/>
      <c r="U119" s="8"/>
      <c r="V119" s="8"/>
      <c r="W119" s="8"/>
      <c r="X119" s="8"/>
      <c r="Y119" s="8"/>
      <c r="Z119" s="8"/>
    </row>
    <row r="120">
      <c r="A120" s="8">
        <f>IFERROR(__xludf.DUMMYFUNCTION("""COMPUTED_VALUE"""),120.0)</f>
        <v>120</v>
      </c>
      <c r="B120" s="8" t="str">
        <f>IFERROR(__xludf.DUMMYFUNCTION("""COMPUTED_VALUE"""),"cashew")</f>
        <v>cashew</v>
      </c>
      <c r="C120" s="8" t="str">
        <f>IFERROR(__xludf.DUMMYFUNCTION("""COMPUTED_VALUE"""),"graft")</f>
        <v>graft</v>
      </c>
      <c r="D120" s="55" t="str">
        <f>IFERROR(__xludf.DUMMYFUNCTION("""COMPUTED_VALUE"""),"Anacardium occidentale")</f>
        <v>Anacardium occidentale</v>
      </c>
      <c r="E120" s="8" t="str">
        <f>IFERROR(__xludf.DUMMYFUNCTION("""COMPUTED_VALUE"""),"X3264 (Yellow)")</f>
        <v>X3264 (Yellow)</v>
      </c>
      <c r="F120" s="8" t="str">
        <f>IFERROR(__xludf.DUMMYFUNCTION("""COMPUTED_VALUE"""),"Cashew")</f>
        <v>Cashew</v>
      </c>
      <c r="G120" s="8" t="str">
        <f>IFERROR(__xludf.DUMMYFUNCTION("""COMPUTED_VALUE"""),"Anacardier")</f>
        <v>Anacardier</v>
      </c>
      <c r="H120" s="8" t="str">
        <f>IFERROR(__xludf.DUMMYFUNCTION("""COMPUTED_VALUE"""),"graft")</f>
        <v>graft</v>
      </c>
      <c r="I120" s="8" t="str">
        <f>IFERROR(__xludf.DUMMYFUNCTION("""COMPUTED_VALUE"""),"C120")</f>
        <v>C120</v>
      </c>
      <c r="J120" s="8" t="str">
        <f>IFERROR(__xludf.DUMMYFUNCTION("""COMPUTED_VALUE"""),"10N13")</f>
        <v>10N13</v>
      </c>
      <c r="K120" s="8"/>
      <c r="L120" s="8">
        <f>IFERROR(__xludf.DUMMYFUNCTION("""COMPUTED_VALUE"""),1.0)</f>
        <v>1</v>
      </c>
      <c r="M120" s="8">
        <f>IFERROR(__xludf.DUMMYFUNCTION("""COMPUTED_VALUE"""),0.0)</f>
        <v>0</v>
      </c>
      <c r="N120" s="8">
        <f>IFERROR(__xludf.DUMMYFUNCTION("""COMPUTED_VALUE"""),20.0)</f>
        <v>20</v>
      </c>
      <c r="O120" s="8"/>
      <c r="P120" s="8"/>
      <c r="Q120" s="8"/>
      <c r="R120" s="8"/>
      <c r="S120" s="8"/>
      <c r="T120" s="8"/>
      <c r="U120" s="8"/>
      <c r="V120" s="8"/>
      <c r="W120" s="8"/>
      <c r="X120" s="8"/>
      <c r="Y120" s="8"/>
      <c r="Z120" s="8"/>
    </row>
    <row r="121">
      <c r="A121" s="8">
        <f>IFERROR(__xludf.DUMMYFUNCTION("""COMPUTED_VALUE"""),121.0)</f>
        <v>121</v>
      </c>
      <c r="B121" s="8" t="str">
        <f>IFERROR(__xludf.DUMMYFUNCTION("""COMPUTED_VALUE"""),"cashew")</f>
        <v>cashew</v>
      </c>
      <c r="C121" s="8" t="str">
        <f>IFERROR(__xludf.DUMMYFUNCTION("""COMPUTED_VALUE"""),"graft")</f>
        <v>graft</v>
      </c>
      <c r="D121" s="55" t="str">
        <f>IFERROR(__xludf.DUMMYFUNCTION("""COMPUTED_VALUE"""),"Anacardium occidentale")</f>
        <v>Anacardium occidentale</v>
      </c>
      <c r="E121" s="8" t="str">
        <f>IFERROR(__xludf.DUMMYFUNCTION("""COMPUTED_VALUE"""),"Z330 (Orange)")</f>
        <v>Z330 (Orange)</v>
      </c>
      <c r="F121" s="8" t="str">
        <f>IFERROR(__xludf.DUMMYFUNCTION("""COMPUTED_VALUE"""),"Cashew")</f>
        <v>Cashew</v>
      </c>
      <c r="G121" s="8" t="str">
        <f>IFERROR(__xludf.DUMMYFUNCTION("""COMPUTED_VALUE"""),"Anacardier")</f>
        <v>Anacardier</v>
      </c>
      <c r="H121" s="8" t="str">
        <f>IFERROR(__xludf.DUMMYFUNCTION("""COMPUTED_VALUE"""),"graft")</f>
        <v>graft</v>
      </c>
      <c r="I121" s="8" t="str">
        <f>IFERROR(__xludf.DUMMYFUNCTION("""COMPUTED_VALUE"""),"C121")</f>
        <v>C121</v>
      </c>
      <c r="J121" s="8" t="str">
        <f>IFERROR(__xludf.DUMMYFUNCTION("""COMPUTED_VALUE"""),"11N01")</f>
        <v>11N01</v>
      </c>
      <c r="K121" s="8"/>
      <c r="L121" s="8">
        <f>IFERROR(__xludf.DUMMYFUNCTION("""COMPUTED_VALUE"""),1.0)</f>
        <v>1</v>
      </c>
      <c r="M121" s="8">
        <f>IFERROR(__xludf.DUMMYFUNCTION("""COMPUTED_VALUE"""),0.0)</f>
        <v>0</v>
      </c>
      <c r="N121" s="8">
        <f>IFERROR(__xludf.DUMMYFUNCTION("""COMPUTED_VALUE"""),23.0)</f>
        <v>23</v>
      </c>
      <c r="O121" s="8"/>
      <c r="P121" s="8"/>
      <c r="Q121" s="8"/>
      <c r="R121" s="8"/>
      <c r="S121" s="8"/>
      <c r="T121" s="8"/>
      <c r="U121" s="8"/>
      <c r="V121" s="8"/>
      <c r="W121" s="8"/>
      <c r="X121" s="8"/>
      <c r="Y121" s="8"/>
      <c r="Z121" s="8"/>
    </row>
    <row r="122">
      <c r="A122" s="8">
        <f>IFERROR(__xludf.DUMMYFUNCTION("""COMPUTED_VALUE"""),122.0)</f>
        <v>122</v>
      </c>
      <c r="B122" s="8" t="str">
        <f>IFERROR(__xludf.DUMMYFUNCTION("""COMPUTED_VALUE"""),"cashew")</f>
        <v>cashew</v>
      </c>
      <c r="C122" s="8" t="str">
        <f>IFERROR(__xludf.DUMMYFUNCTION("""COMPUTED_VALUE"""),"graft")</f>
        <v>graft</v>
      </c>
      <c r="D122" s="55" t="str">
        <f>IFERROR(__xludf.DUMMYFUNCTION("""COMPUTED_VALUE"""),"Anacardium occidentale")</f>
        <v>Anacardium occidentale</v>
      </c>
      <c r="E122" s="8" t="str">
        <f>IFERROR(__xludf.DUMMYFUNCTION("""COMPUTED_VALUE"""),"Z330 (Orange)")</f>
        <v>Z330 (Orange)</v>
      </c>
      <c r="F122" s="8" t="str">
        <f>IFERROR(__xludf.DUMMYFUNCTION("""COMPUTED_VALUE"""),"Cashew")</f>
        <v>Cashew</v>
      </c>
      <c r="G122" s="8" t="str">
        <f>IFERROR(__xludf.DUMMYFUNCTION("""COMPUTED_VALUE"""),"Anacardier")</f>
        <v>Anacardier</v>
      </c>
      <c r="H122" s="8" t="str">
        <f>IFERROR(__xludf.DUMMYFUNCTION("""COMPUTED_VALUE"""),"graft")</f>
        <v>graft</v>
      </c>
      <c r="I122" s="8" t="str">
        <f>IFERROR(__xludf.DUMMYFUNCTION("""COMPUTED_VALUE"""),"C122")</f>
        <v>C122</v>
      </c>
      <c r="J122" s="8" t="str">
        <f>IFERROR(__xludf.DUMMYFUNCTION("""COMPUTED_VALUE"""),"11N02")</f>
        <v>11N02</v>
      </c>
      <c r="K122" s="8"/>
      <c r="L122" s="8">
        <f>IFERROR(__xludf.DUMMYFUNCTION("""COMPUTED_VALUE"""),1.0)</f>
        <v>1</v>
      </c>
      <c r="M122" s="8">
        <f>IFERROR(__xludf.DUMMYFUNCTION("""COMPUTED_VALUE"""),0.0)</f>
        <v>0</v>
      </c>
      <c r="N122" s="8">
        <f>IFERROR(__xludf.DUMMYFUNCTION("""COMPUTED_VALUE"""),23.0)</f>
        <v>23</v>
      </c>
      <c r="O122" s="8"/>
      <c r="P122" s="8"/>
      <c r="Q122" s="8"/>
      <c r="R122" s="8"/>
      <c r="S122" s="8"/>
      <c r="T122" s="8"/>
      <c r="U122" s="8"/>
      <c r="V122" s="8"/>
      <c r="W122" s="8"/>
      <c r="X122" s="8"/>
      <c r="Y122" s="8"/>
      <c r="Z122" s="8"/>
    </row>
    <row r="123">
      <c r="A123" s="8">
        <f>IFERROR(__xludf.DUMMYFUNCTION("""COMPUTED_VALUE"""),123.0)</f>
        <v>123</v>
      </c>
      <c r="B123" s="8" t="str">
        <f>IFERROR(__xludf.DUMMYFUNCTION("""COMPUTED_VALUE"""),"cashew")</f>
        <v>cashew</v>
      </c>
      <c r="C123" s="8" t="str">
        <f>IFERROR(__xludf.DUMMYFUNCTION("""COMPUTED_VALUE"""),"graft")</f>
        <v>graft</v>
      </c>
      <c r="D123" s="55" t="str">
        <f>IFERROR(__xludf.DUMMYFUNCTION("""COMPUTED_VALUE"""),"Anacardium occidentale")</f>
        <v>Anacardium occidentale</v>
      </c>
      <c r="E123" s="8" t="str">
        <f>IFERROR(__xludf.DUMMYFUNCTION("""COMPUTED_VALUE"""),"Z330 (Orange)")</f>
        <v>Z330 (Orange)</v>
      </c>
      <c r="F123" s="8" t="str">
        <f>IFERROR(__xludf.DUMMYFUNCTION("""COMPUTED_VALUE"""),"Cashew")</f>
        <v>Cashew</v>
      </c>
      <c r="G123" s="8" t="str">
        <f>IFERROR(__xludf.DUMMYFUNCTION("""COMPUTED_VALUE"""),"Anacardier")</f>
        <v>Anacardier</v>
      </c>
      <c r="H123" s="8" t="str">
        <f>IFERROR(__xludf.DUMMYFUNCTION("""COMPUTED_VALUE"""),"graft")</f>
        <v>graft</v>
      </c>
      <c r="I123" s="8" t="str">
        <f>IFERROR(__xludf.DUMMYFUNCTION("""COMPUTED_VALUE"""),"C123")</f>
        <v>C123</v>
      </c>
      <c r="J123" s="8" t="str">
        <f>IFERROR(__xludf.DUMMYFUNCTION("""COMPUTED_VALUE"""),"11N03")</f>
        <v>11N03</v>
      </c>
      <c r="K123" s="8"/>
      <c r="L123" s="8">
        <f>IFERROR(__xludf.DUMMYFUNCTION("""COMPUTED_VALUE"""),1.0)</f>
        <v>1</v>
      </c>
      <c r="M123" s="8">
        <f>IFERROR(__xludf.DUMMYFUNCTION("""COMPUTED_VALUE"""),0.0)</f>
        <v>0</v>
      </c>
      <c r="N123" s="8">
        <f>IFERROR(__xludf.DUMMYFUNCTION("""COMPUTED_VALUE"""),23.0)</f>
        <v>23</v>
      </c>
      <c r="O123" s="8"/>
      <c r="P123" s="8"/>
      <c r="Q123" s="8"/>
      <c r="R123" s="8"/>
      <c r="S123" s="8"/>
      <c r="T123" s="8"/>
      <c r="U123" s="8"/>
      <c r="V123" s="8"/>
      <c r="W123" s="8"/>
      <c r="X123" s="8"/>
      <c r="Y123" s="8"/>
      <c r="Z123" s="8"/>
    </row>
    <row r="124">
      <c r="A124" s="8">
        <f>IFERROR(__xludf.DUMMYFUNCTION("""COMPUTED_VALUE"""),124.0)</f>
        <v>124</v>
      </c>
      <c r="B124" s="8" t="str">
        <f>IFERROR(__xludf.DUMMYFUNCTION("""COMPUTED_VALUE"""),"cashew")</f>
        <v>cashew</v>
      </c>
      <c r="C124" s="8" t="str">
        <f>IFERROR(__xludf.DUMMYFUNCTION("""COMPUTED_VALUE"""),"graft")</f>
        <v>graft</v>
      </c>
      <c r="D124" s="55" t="str">
        <f>IFERROR(__xludf.DUMMYFUNCTION("""COMPUTED_VALUE"""),"Anacardium occidentale")</f>
        <v>Anacardium occidentale</v>
      </c>
      <c r="E124" s="8" t="str">
        <f>IFERROR(__xludf.DUMMYFUNCTION("""COMPUTED_VALUE"""),"Z330 (Orange)")</f>
        <v>Z330 (Orange)</v>
      </c>
      <c r="F124" s="8" t="str">
        <f>IFERROR(__xludf.DUMMYFUNCTION("""COMPUTED_VALUE"""),"Cashew")</f>
        <v>Cashew</v>
      </c>
      <c r="G124" s="8" t="str">
        <f>IFERROR(__xludf.DUMMYFUNCTION("""COMPUTED_VALUE"""),"Anacardier")</f>
        <v>Anacardier</v>
      </c>
      <c r="H124" s="8" t="str">
        <f>IFERROR(__xludf.DUMMYFUNCTION("""COMPUTED_VALUE"""),"graft")</f>
        <v>graft</v>
      </c>
      <c r="I124" s="8" t="str">
        <f>IFERROR(__xludf.DUMMYFUNCTION("""COMPUTED_VALUE"""),"C124")</f>
        <v>C124</v>
      </c>
      <c r="J124" s="8" t="str">
        <f>IFERROR(__xludf.DUMMYFUNCTION("""COMPUTED_VALUE"""),"11N04")</f>
        <v>11N04</v>
      </c>
      <c r="K124" s="8"/>
      <c r="L124" s="8">
        <f>IFERROR(__xludf.DUMMYFUNCTION("""COMPUTED_VALUE"""),1.0)</f>
        <v>1</v>
      </c>
      <c r="M124" s="8">
        <f>IFERROR(__xludf.DUMMYFUNCTION("""COMPUTED_VALUE"""),0.0)</f>
        <v>0</v>
      </c>
      <c r="N124" s="8">
        <f>IFERROR(__xludf.DUMMYFUNCTION("""COMPUTED_VALUE"""),23.0)</f>
        <v>23</v>
      </c>
      <c r="O124" s="8"/>
      <c r="P124" s="8"/>
      <c r="Q124" s="8"/>
      <c r="R124" s="8"/>
      <c r="S124" s="8"/>
      <c r="T124" s="8"/>
      <c r="U124" s="8"/>
      <c r="V124" s="8"/>
      <c r="W124" s="8"/>
      <c r="X124" s="8"/>
      <c r="Y124" s="8"/>
      <c r="Z124" s="8"/>
    </row>
    <row r="125">
      <c r="A125" s="8">
        <f>IFERROR(__xludf.DUMMYFUNCTION("""COMPUTED_VALUE"""),125.0)</f>
        <v>125</v>
      </c>
      <c r="B125" s="8" t="str">
        <f>IFERROR(__xludf.DUMMYFUNCTION("""COMPUTED_VALUE"""),"cashew")</f>
        <v>cashew</v>
      </c>
      <c r="C125" s="8" t="str">
        <f>IFERROR(__xludf.DUMMYFUNCTION("""COMPUTED_VALUE"""),"graft")</f>
        <v>graft</v>
      </c>
      <c r="D125" s="55" t="str">
        <f>IFERROR(__xludf.DUMMYFUNCTION("""COMPUTED_VALUE"""),"Anacardium occidentale")</f>
        <v>Anacardium occidentale</v>
      </c>
      <c r="E125" s="8" t="str">
        <f>IFERROR(__xludf.DUMMYFUNCTION("""COMPUTED_VALUE"""),"Z330 (Orange)")</f>
        <v>Z330 (Orange)</v>
      </c>
      <c r="F125" s="8" t="str">
        <f>IFERROR(__xludf.DUMMYFUNCTION("""COMPUTED_VALUE"""),"Cashew")</f>
        <v>Cashew</v>
      </c>
      <c r="G125" s="8" t="str">
        <f>IFERROR(__xludf.DUMMYFUNCTION("""COMPUTED_VALUE"""),"Anacardier")</f>
        <v>Anacardier</v>
      </c>
      <c r="H125" s="8" t="str">
        <f>IFERROR(__xludf.DUMMYFUNCTION("""COMPUTED_VALUE"""),"graft")</f>
        <v>graft</v>
      </c>
      <c r="I125" s="8" t="str">
        <f>IFERROR(__xludf.DUMMYFUNCTION("""COMPUTED_VALUE"""),"C125")</f>
        <v>C125</v>
      </c>
      <c r="J125" s="8" t="str">
        <f>IFERROR(__xludf.DUMMYFUNCTION("""COMPUTED_VALUE"""),"11N05")</f>
        <v>11N05</v>
      </c>
      <c r="K125" s="8"/>
      <c r="L125" s="8">
        <f>IFERROR(__xludf.DUMMYFUNCTION("""COMPUTED_VALUE"""),1.0)</f>
        <v>1</v>
      </c>
      <c r="M125" s="8">
        <f>IFERROR(__xludf.DUMMYFUNCTION("""COMPUTED_VALUE"""),0.0)</f>
        <v>0</v>
      </c>
      <c r="N125" s="8">
        <f>IFERROR(__xludf.DUMMYFUNCTION("""COMPUTED_VALUE"""),23.0)</f>
        <v>23</v>
      </c>
      <c r="O125" s="8"/>
      <c r="P125" s="8"/>
      <c r="Q125" s="8"/>
      <c r="R125" s="8"/>
      <c r="S125" s="8"/>
      <c r="T125" s="8"/>
      <c r="U125" s="8"/>
      <c r="V125" s="8"/>
      <c r="W125" s="8"/>
      <c r="X125" s="8"/>
      <c r="Y125" s="8"/>
      <c r="Z125" s="8"/>
    </row>
    <row r="126">
      <c r="A126" s="8">
        <f>IFERROR(__xludf.DUMMYFUNCTION("""COMPUTED_VALUE"""),126.0)</f>
        <v>126</v>
      </c>
      <c r="B126" s="8" t="str">
        <f>IFERROR(__xludf.DUMMYFUNCTION("""COMPUTED_VALUE"""),"cashew")</f>
        <v>cashew</v>
      </c>
      <c r="C126" s="8" t="str">
        <f>IFERROR(__xludf.DUMMYFUNCTION("""COMPUTED_VALUE"""),"graft")</f>
        <v>graft</v>
      </c>
      <c r="D126" s="55" t="str">
        <f>IFERROR(__xludf.DUMMYFUNCTION("""COMPUTED_VALUE"""),"Anacardium occidentale")</f>
        <v>Anacardium occidentale</v>
      </c>
      <c r="E126" s="8" t="str">
        <f>IFERROR(__xludf.DUMMYFUNCTION("""COMPUTED_VALUE"""),"Z330 (Orange)")</f>
        <v>Z330 (Orange)</v>
      </c>
      <c r="F126" s="8" t="str">
        <f>IFERROR(__xludf.DUMMYFUNCTION("""COMPUTED_VALUE"""),"Cashew")</f>
        <v>Cashew</v>
      </c>
      <c r="G126" s="8" t="str">
        <f>IFERROR(__xludf.DUMMYFUNCTION("""COMPUTED_VALUE"""),"Anacardier")</f>
        <v>Anacardier</v>
      </c>
      <c r="H126" s="8" t="str">
        <f>IFERROR(__xludf.DUMMYFUNCTION("""COMPUTED_VALUE"""),"graft")</f>
        <v>graft</v>
      </c>
      <c r="I126" s="8" t="str">
        <f>IFERROR(__xludf.DUMMYFUNCTION("""COMPUTED_VALUE"""),"C126")</f>
        <v>C126</v>
      </c>
      <c r="J126" s="8" t="str">
        <f>IFERROR(__xludf.DUMMYFUNCTION("""COMPUTED_VALUE"""),"11N06")</f>
        <v>11N06</v>
      </c>
      <c r="K126" s="8"/>
      <c r="L126" s="8">
        <f>IFERROR(__xludf.DUMMYFUNCTION("""COMPUTED_VALUE"""),1.0)</f>
        <v>1</v>
      </c>
      <c r="M126" s="8">
        <f>IFERROR(__xludf.DUMMYFUNCTION("""COMPUTED_VALUE"""),0.0)</f>
        <v>0</v>
      </c>
      <c r="N126" s="8">
        <f>IFERROR(__xludf.DUMMYFUNCTION("""COMPUTED_VALUE"""),23.0)</f>
        <v>23</v>
      </c>
      <c r="O126" s="8"/>
      <c r="P126" s="8"/>
      <c r="Q126" s="8"/>
      <c r="R126" s="8"/>
      <c r="S126" s="8"/>
      <c r="T126" s="8"/>
      <c r="U126" s="8"/>
      <c r="V126" s="8"/>
      <c r="W126" s="8"/>
      <c r="X126" s="8"/>
      <c r="Y126" s="8"/>
      <c r="Z126" s="8"/>
    </row>
    <row r="127">
      <c r="A127" s="8">
        <f>IFERROR(__xludf.DUMMYFUNCTION("""COMPUTED_VALUE"""),127.0)</f>
        <v>127</v>
      </c>
      <c r="B127" s="8" t="str">
        <f>IFERROR(__xludf.DUMMYFUNCTION("""COMPUTED_VALUE"""),"cashew")</f>
        <v>cashew</v>
      </c>
      <c r="C127" s="8" t="str">
        <f>IFERROR(__xludf.DUMMYFUNCTION("""COMPUTED_VALUE"""),"graft")</f>
        <v>graft</v>
      </c>
      <c r="D127" s="55" t="str">
        <f>IFERROR(__xludf.DUMMYFUNCTION("""COMPUTED_VALUE"""),"Anacardium occidentale")</f>
        <v>Anacardium occidentale</v>
      </c>
      <c r="E127" s="8" t="str">
        <f>IFERROR(__xludf.DUMMYFUNCTION("""COMPUTED_VALUE"""),"Z330 (Orange)")</f>
        <v>Z330 (Orange)</v>
      </c>
      <c r="F127" s="8" t="str">
        <f>IFERROR(__xludf.DUMMYFUNCTION("""COMPUTED_VALUE"""),"Cashew")</f>
        <v>Cashew</v>
      </c>
      <c r="G127" s="8" t="str">
        <f>IFERROR(__xludf.DUMMYFUNCTION("""COMPUTED_VALUE"""),"Anacardier")</f>
        <v>Anacardier</v>
      </c>
      <c r="H127" s="8" t="str">
        <f>IFERROR(__xludf.DUMMYFUNCTION("""COMPUTED_VALUE"""),"graft")</f>
        <v>graft</v>
      </c>
      <c r="I127" s="8" t="str">
        <f>IFERROR(__xludf.DUMMYFUNCTION("""COMPUTED_VALUE"""),"C127")</f>
        <v>C127</v>
      </c>
      <c r="J127" s="8" t="str">
        <f>IFERROR(__xludf.DUMMYFUNCTION("""COMPUTED_VALUE"""),"11N07")</f>
        <v>11N07</v>
      </c>
      <c r="K127" s="8"/>
      <c r="L127" s="8">
        <f>IFERROR(__xludf.DUMMYFUNCTION("""COMPUTED_VALUE"""),1.0)</f>
        <v>1</v>
      </c>
      <c r="M127" s="8">
        <f>IFERROR(__xludf.DUMMYFUNCTION("""COMPUTED_VALUE"""),0.0)</f>
        <v>0</v>
      </c>
      <c r="N127" s="8">
        <f>IFERROR(__xludf.DUMMYFUNCTION("""COMPUTED_VALUE"""),23.0)</f>
        <v>23</v>
      </c>
      <c r="O127" s="8"/>
      <c r="P127" s="8"/>
      <c r="Q127" s="8"/>
      <c r="R127" s="8"/>
      <c r="S127" s="8"/>
      <c r="T127" s="8"/>
      <c r="U127" s="8"/>
      <c r="V127" s="8"/>
      <c r="W127" s="8"/>
      <c r="X127" s="8"/>
      <c r="Y127" s="8"/>
      <c r="Z127" s="8"/>
    </row>
    <row r="128">
      <c r="A128" s="8">
        <f>IFERROR(__xludf.DUMMYFUNCTION("""COMPUTED_VALUE"""),128.0)</f>
        <v>128</v>
      </c>
      <c r="B128" s="8" t="str">
        <f>IFERROR(__xludf.DUMMYFUNCTION("""COMPUTED_VALUE"""),"cashew")</f>
        <v>cashew</v>
      </c>
      <c r="C128" s="8" t="str">
        <f>IFERROR(__xludf.DUMMYFUNCTION("""COMPUTED_VALUE"""),"graft")</f>
        <v>graft</v>
      </c>
      <c r="D128" s="55" t="str">
        <f>IFERROR(__xludf.DUMMYFUNCTION("""COMPUTED_VALUE"""),"Anacardium occidentale")</f>
        <v>Anacardium occidentale</v>
      </c>
      <c r="E128" s="8" t="str">
        <f>IFERROR(__xludf.DUMMYFUNCTION("""COMPUTED_VALUE"""),"Z330 (Orange)")</f>
        <v>Z330 (Orange)</v>
      </c>
      <c r="F128" s="8" t="str">
        <f>IFERROR(__xludf.DUMMYFUNCTION("""COMPUTED_VALUE"""),"Cashew")</f>
        <v>Cashew</v>
      </c>
      <c r="G128" s="8" t="str">
        <f>IFERROR(__xludf.DUMMYFUNCTION("""COMPUTED_VALUE"""),"Anacardier")</f>
        <v>Anacardier</v>
      </c>
      <c r="H128" s="8" t="str">
        <f>IFERROR(__xludf.DUMMYFUNCTION("""COMPUTED_VALUE"""),"graft")</f>
        <v>graft</v>
      </c>
      <c r="I128" s="8" t="str">
        <f>IFERROR(__xludf.DUMMYFUNCTION("""COMPUTED_VALUE"""),"C128")</f>
        <v>C128</v>
      </c>
      <c r="J128" s="8" t="str">
        <f>IFERROR(__xludf.DUMMYFUNCTION("""COMPUTED_VALUE"""),"11N08")</f>
        <v>11N08</v>
      </c>
      <c r="K128" s="8"/>
      <c r="L128" s="8">
        <f>IFERROR(__xludf.DUMMYFUNCTION("""COMPUTED_VALUE"""),1.0)</f>
        <v>1</v>
      </c>
      <c r="M128" s="8">
        <f>IFERROR(__xludf.DUMMYFUNCTION("""COMPUTED_VALUE"""),0.0)</f>
        <v>0</v>
      </c>
      <c r="N128" s="8">
        <f>IFERROR(__xludf.DUMMYFUNCTION("""COMPUTED_VALUE"""),23.0)</f>
        <v>23</v>
      </c>
      <c r="O128" s="8"/>
      <c r="P128" s="8"/>
      <c r="Q128" s="8"/>
      <c r="R128" s="8"/>
      <c r="S128" s="8"/>
      <c r="T128" s="8"/>
      <c r="U128" s="8"/>
      <c r="V128" s="8"/>
      <c r="W128" s="8"/>
      <c r="X128" s="8"/>
      <c r="Y128" s="8"/>
      <c r="Z128" s="8"/>
    </row>
    <row r="129">
      <c r="A129" s="8">
        <f>IFERROR(__xludf.DUMMYFUNCTION("""COMPUTED_VALUE"""),129.0)</f>
        <v>129</v>
      </c>
      <c r="B129" s="8" t="str">
        <f>IFERROR(__xludf.DUMMYFUNCTION("""COMPUTED_VALUE"""),"cashew")</f>
        <v>cashew</v>
      </c>
      <c r="C129" s="8" t="str">
        <f>IFERROR(__xludf.DUMMYFUNCTION("""COMPUTED_VALUE"""),"graft")</f>
        <v>graft</v>
      </c>
      <c r="D129" s="55" t="str">
        <f>IFERROR(__xludf.DUMMYFUNCTION("""COMPUTED_VALUE"""),"Anacardium occidentale")</f>
        <v>Anacardium occidentale</v>
      </c>
      <c r="E129" s="8" t="str">
        <f>IFERROR(__xludf.DUMMYFUNCTION("""COMPUTED_VALUE"""),"Z330 (Orange)")</f>
        <v>Z330 (Orange)</v>
      </c>
      <c r="F129" s="8" t="str">
        <f>IFERROR(__xludf.DUMMYFUNCTION("""COMPUTED_VALUE"""),"Cashew")</f>
        <v>Cashew</v>
      </c>
      <c r="G129" s="8" t="str">
        <f>IFERROR(__xludf.DUMMYFUNCTION("""COMPUTED_VALUE"""),"Anacardier")</f>
        <v>Anacardier</v>
      </c>
      <c r="H129" s="8" t="str">
        <f>IFERROR(__xludf.DUMMYFUNCTION("""COMPUTED_VALUE"""),"graft")</f>
        <v>graft</v>
      </c>
      <c r="I129" s="8" t="str">
        <f>IFERROR(__xludf.DUMMYFUNCTION("""COMPUTED_VALUE"""),"C129")</f>
        <v>C129</v>
      </c>
      <c r="J129" s="8" t="str">
        <f>IFERROR(__xludf.DUMMYFUNCTION("""COMPUTED_VALUE"""),"11N09")</f>
        <v>11N09</v>
      </c>
      <c r="K129" s="8"/>
      <c r="L129" s="8">
        <f>IFERROR(__xludf.DUMMYFUNCTION("""COMPUTED_VALUE"""),1.0)</f>
        <v>1</v>
      </c>
      <c r="M129" s="8">
        <f>IFERROR(__xludf.DUMMYFUNCTION("""COMPUTED_VALUE"""),0.0)</f>
        <v>0</v>
      </c>
      <c r="N129" s="8">
        <f>IFERROR(__xludf.DUMMYFUNCTION("""COMPUTED_VALUE"""),23.0)</f>
        <v>23</v>
      </c>
      <c r="O129" s="8"/>
      <c r="P129" s="8"/>
      <c r="Q129" s="8"/>
      <c r="R129" s="8"/>
      <c r="S129" s="8"/>
      <c r="T129" s="8"/>
      <c r="U129" s="8"/>
      <c r="V129" s="8"/>
      <c r="W129" s="8"/>
      <c r="X129" s="8"/>
      <c r="Y129" s="8"/>
      <c r="Z129" s="8"/>
    </row>
    <row r="130">
      <c r="A130" s="8">
        <f>IFERROR(__xludf.DUMMYFUNCTION("""COMPUTED_VALUE"""),130.0)</f>
        <v>130</v>
      </c>
      <c r="B130" s="8" t="str">
        <f>IFERROR(__xludf.DUMMYFUNCTION("""COMPUTED_VALUE"""),"cashew")</f>
        <v>cashew</v>
      </c>
      <c r="C130" s="8" t="str">
        <f>IFERROR(__xludf.DUMMYFUNCTION("""COMPUTED_VALUE"""),"graft")</f>
        <v>graft</v>
      </c>
      <c r="D130" s="55" t="str">
        <f>IFERROR(__xludf.DUMMYFUNCTION("""COMPUTED_VALUE"""),"Anacardium occidentale")</f>
        <v>Anacardium occidentale</v>
      </c>
      <c r="E130" s="8" t="str">
        <f>IFERROR(__xludf.DUMMYFUNCTION("""COMPUTED_VALUE"""),"Z330 (Orange)")</f>
        <v>Z330 (Orange)</v>
      </c>
      <c r="F130" s="8" t="str">
        <f>IFERROR(__xludf.DUMMYFUNCTION("""COMPUTED_VALUE"""),"Cashew")</f>
        <v>Cashew</v>
      </c>
      <c r="G130" s="8" t="str">
        <f>IFERROR(__xludf.DUMMYFUNCTION("""COMPUTED_VALUE"""),"Anacardier")</f>
        <v>Anacardier</v>
      </c>
      <c r="H130" s="8" t="str">
        <f>IFERROR(__xludf.DUMMYFUNCTION("""COMPUTED_VALUE"""),"graft")</f>
        <v>graft</v>
      </c>
      <c r="I130" s="8" t="str">
        <f>IFERROR(__xludf.DUMMYFUNCTION("""COMPUTED_VALUE"""),"C130")</f>
        <v>C130</v>
      </c>
      <c r="J130" s="8" t="str">
        <f>IFERROR(__xludf.DUMMYFUNCTION("""COMPUTED_VALUE"""),"11N10")</f>
        <v>11N10</v>
      </c>
      <c r="K130" s="8"/>
      <c r="L130" s="8">
        <f>IFERROR(__xludf.DUMMYFUNCTION("""COMPUTED_VALUE"""),1.0)</f>
        <v>1</v>
      </c>
      <c r="M130" s="8">
        <f>IFERROR(__xludf.DUMMYFUNCTION("""COMPUTED_VALUE"""),0.0)</f>
        <v>0</v>
      </c>
      <c r="N130" s="8">
        <f>IFERROR(__xludf.DUMMYFUNCTION("""COMPUTED_VALUE"""),23.0)</f>
        <v>23</v>
      </c>
      <c r="O130" s="8"/>
      <c r="P130" s="8"/>
      <c r="Q130" s="8"/>
      <c r="R130" s="8"/>
      <c r="S130" s="8"/>
      <c r="T130" s="8"/>
      <c r="U130" s="8"/>
      <c r="V130" s="8"/>
      <c r="W130" s="8"/>
      <c r="X130" s="8"/>
      <c r="Y130" s="8"/>
      <c r="Z130" s="8"/>
    </row>
    <row r="131">
      <c r="A131" s="8">
        <f>IFERROR(__xludf.DUMMYFUNCTION("""COMPUTED_VALUE"""),131.0)</f>
        <v>131</v>
      </c>
      <c r="B131" s="8" t="str">
        <f>IFERROR(__xludf.DUMMYFUNCTION("""COMPUTED_VALUE"""),"cashew")</f>
        <v>cashew</v>
      </c>
      <c r="C131" s="8" t="str">
        <f>IFERROR(__xludf.DUMMYFUNCTION("""COMPUTED_VALUE"""),"graft")</f>
        <v>graft</v>
      </c>
      <c r="D131" s="55" t="str">
        <f>IFERROR(__xludf.DUMMYFUNCTION("""COMPUTED_VALUE"""),"Anacardium occidentale")</f>
        <v>Anacardium occidentale</v>
      </c>
      <c r="E131" s="8" t="str">
        <f>IFERROR(__xludf.DUMMYFUNCTION("""COMPUTED_VALUE"""),"Z330 (Orange)")</f>
        <v>Z330 (Orange)</v>
      </c>
      <c r="F131" s="8" t="str">
        <f>IFERROR(__xludf.DUMMYFUNCTION("""COMPUTED_VALUE"""),"Cashew")</f>
        <v>Cashew</v>
      </c>
      <c r="G131" s="8" t="str">
        <f>IFERROR(__xludf.DUMMYFUNCTION("""COMPUTED_VALUE"""),"Anacardier")</f>
        <v>Anacardier</v>
      </c>
      <c r="H131" s="8" t="str">
        <f>IFERROR(__xludf.DUMMYFUNCTION("""COMPUTED_VALUE"""),"graft")</f>
        <v>graft</v>
      </c>
      <c r="I131" s="8" t="str">
        <f>IFERROR(__xludf.DUMMYFUNCTION("""COMPUTED_VALUE"""),"C131")</f>
        <v>C131</v>
      </c>
      <c r="J131" s="8" t="str">
        <f>IFERROR(__xludf.DUMMYFUNCTION("""COMPUTED_VALUE"""),"11N11")</f>
        <v>11N11</v>
      </c>
      <c r="K131" s="8"/>
      <c r="L131" s="8">
        <f>IFERROR(__xludf.DUMMYFUNCTION("""COMPUTED_VALUE"""),1.0)</f>
        <v>1</v>
      </c>
      <c r="M131" s="8">
        <f>IFERROR(__xludf.DUMMYFUNCTION("""COMPUTED_VALUE"""),0.0)</f>
        <v>0</v>
      </c>
      <c r="N131" s="8">
        <f>IFERROR(__xludf.DUMMYFUNCTION("""COMPUTED_VALUE"""),23.0)</f>
        <v>23</v>
      </c>
      <c r="O131" s="8"/>
      <c r="P131" s="8"/>
      <c r="Q131" s="8"/>
      <c r="R131" s="8"/>
      <c r="S131" s="8"/>
      <c r="T131" s="8"/>
      <c r="U131" s="8"/>
      <c r="V131" s="8"/>
      <c r="W131" s="8"/>
      <c r="X131" s="8"/>
      <c r="Y131" s="8"/>
      <c r="Z131" s="8"/>
    </row>
    <row r="132">
      <c r="A132" s="8">
        <f>IFERROR(__xludf.DUMMYFUNCTION("""COMPUTED_VALUE"""),132.0)</f>
        <v>132</v>
      </c>
      <c r="B132" s="8" t="str">
        <f>IFERROR(__xludf.DUMMYFUNCTION("""COMPUTED_VALUE"""),"cashew")</f>
        <v>cashew</v>
      </c>
      <c r="C132" s="8" t="str">
        <f>IFERROR(__xludf.DUMMYFUNCTION("""COMPUTED_VALUE"""),"graft")</f>
        <v>graft</v>
      </c>
      <c r="D132" s="55" t="str">
        <f>IFERROR(__xludf.DUMMYFUNCTION("""COMPUTED_VALUE"""),"Anacardium occidentale")</f>
        <v>Anacardium occidentale</v>
      </c>
      <c r="E132" s="8" t="str">
        <f>IFERROR(__xludf.DUMMYFUNCTION("""COMPUTED_VALUE"""),"Z330 (Orange)")</f>
        <v>Z330 (Orange)</v>
      </c>
      <c r="F132" s="8" t="str">
        <f>IFERROR(__xludf.DUMMYFUNCTION("""COMPUTED_VALUE"""),"Cashew")</f>
        <v>Cashew</v>
      </c>
      <c r="G132" s="8" t="str">
        <f>IFERROR(__xludf.DUMMYFUNCTION("""COMPUTED_VALUE"""),"Anacardier")</f>
        <v>Anacardier</v>
      </c>
      <c r="H132" s="8" t="str">
        <f>IFERROR(__xludf.DUMMYFUNCTION("""COMPUTED_VALUE"""),"graft")</f>
        <v>graft</v>
      </c>
      <c r="I132" s="8" t="str">
        <f>IFERROR(__xludf.DUMMYFUNCTION("""COMPUTED_VALUE"""),"C132")</f>
        <v>C132</v>
      </c>
      <c r="J132" s="8" t="str">
        <f>IFERROR(__xludf.DUMMYFUNCTION("""COMPUTED_VALUE"""),"11N12")</f>
        <v>11N12</v>
      </c>
      <c r="K132" s="8"/>
      <c r="L132" s="8">
        <f>IFERROR(__xludf.DUMMYFUNCTION("""COMPUTED_VALUE"""),1.0)</f>
        <v>1</v>
      </c>
      <c r="M132" s="8">
        <f>IFERROR(__xludf.DUMMYFUNCTION("""COMPUTED_VALUE"""),0.0)</f>
        <v>0</v>
      </c>
      <c r="N132" s="8">
        <f>IFERROR(__xludf.DUMMYFUNCTION("""COMPUTED_VALUE"""),23.0)</f>
        <v>23</v>
      </c>
      <c r="O132" s="8"/>
      <c r="P132" s="8"/>
      <c r="Q132" s="8"/>
      <c r="R132" s="8"/>
      <c r="S132" s="8"/>
      <c r="T132" s="8"/>
      <c r="U132" s="8"/>
      <c r="V132" s="8"/>
      <c r="W132" s="8"/>
      <c r="X132" s="8"/>
      <c r="Y132" s="8"/>
      <c r="Z132" s="8"/>
    </row>
    <row r="133">
      <c r="A133" s="8">
        <f>IFERROR(__xludf.DUMMYFUNCTION("""COMPUTED_VALUE"""),133.0)</f>
        <v>133</v>
      </c>
      <c r="B133" s="8" t="str">
        <f>IFERROR(__xludf.DUMMYFUNCTION("""COMPUTED_VALUE"""),"cashew")</f>
        <v>cashew</v>
      </c>
      <c r="C133" s="8" t="str">
        <f>IFERROR(__xludf.DUMMYFUNCTION("""COMPUTED_VALUE"""),"graft")</f>
        <v>graft</v>
      </c>
      <c r="D133" s="55" t="str">
        <f>IFERROR(__xludf.DUMMYFUNCTION("""COMPUTED_VALUE"""),"Anacardium occidentale")</f>
        <v>Anacardium occidentale</v>
      </c>
      <c r="E133" s="8" t="str">
        <f>IFERROR(__xludf.DUMMYFUNCTION("""COMPUTED_VALUE"""),"X4297 (Red)")</f>
        <v>X4297 (Red)</v>
      </c>
      <c r="F133" s="8" t="str">
        <f>IFERROR(__xludf.DUMMYFUNCTION("""COMPUTED_VALUE"""),"Cashew")</f>
        <v>Cashew</v>
      </c>
      <c r="G133" s="8" t="str">
        <f>IFERROR(__xludf.DUMMYFUNCTION("""COMPUTED_VALUE"""),"Anacardier")</f>
        <v>Anacardier</v>
      </c>
      <c r="H133" s="8" t="str">
        <f>IFERROR(__xludf.DUMMYFUNCTION("""COMPUTED_VALUE"""),"graft")</f>
        <v>graft</v>
      </c>
      <c r="I133" s="8" t="str">
        <f>IFERROR(__xludf.DUMMYFUNCTION("""COMPUTED_VALUE"""),"C133")</f>
        <v>C133</v>
      </c>
      <c r="J133" s="8" t="str">
        <f>IFERROR(__xludf.DUMMYFUNCTION("""COMPUTED_VALUE"""),"12N01")</f>
        <v>12N01</v>
      </c>
      <c r="K133" s="8"/>
      <c r="L133" s="8">
        <f>IFERROR(__xludf.DUMMYFUNCTION("""COMPUTED_VALUE"""),1.0)</f>
        <v>1</v>
      </c>
      <c r="M133" s="8">
        <f>IFERROR(__xludf.DUMMYFUNCTION("""COMPUTED_VALUE"""),0.0)</f>
        <v>0</v>
      </c>
      <c r="N133" s="8">
        <f>IFERROR(__xludf.DUMMYFUNCTION("""COMPUTED_VALUE"""),22.0)</f>
        <v>22</v>
      </c>
      <c r="O133" s="8"/>
      <c r="P133" s="8"/>
      <c r="Q133" s="8"/>
      <c r="R133" s="8"/>
      <c r="S133" s="8"/>
      <c r="T133" s="8"/>
      <c r="U133" s="8"/>
      <c r="V133" s="8"/>
      <c r="W133" s="8"/>
      <c r="X133" s="8"/>
      <c r="Y133" s="8"/>
      <c r="Z133" s="8"/>
    </row>
    <row r="134">
      <c r="A134" s="8">
        <f>IFERROR(__xludf.DUMMYFUNCTION("""COMPUTED_VALUE"""),134.0)</f>
        <v>134</v>
      </c>
      <c r="B134" s="8" t="str">
        <f>IFERROR(__xludf.DUMMYFUNCTION("""COMPUTED_VALUE"""),"cashew")</f>
        <v>cashew</v>
      </c>
      <c r="C134" s="8" t="str">
        <f>IFERROR(__xludf.DUMMYFUNCTION("""COMPUTED_VALUE"""),"graft")</f>
        <v>graft</v>
      </c>
      <c r="D134" s="55" t="str">
        <f>IFERROR(__xludf.DUMMYFUNCTION("""COMPUTED_VALUE"""),"Anacardium occidentale")</f>
        <v>Anacardium occidentale</v>
      </c>
      <c r="E134" s="8" t="str">
        <f>IFERROR(__xludf.DUMMYFUNCTION("""COMPUTED_VALUE"""),"X4297 (Red)")</f>
        <v>X4297 (Red)</v>
      </c>
      <c r="F134" s="8" t="str">
        <f>IFERROR(__xludf.DUMMYFUNCTION("""COMPUTED_VALUE"""),"Cashew")</f>
        <v>Cashew</v>
      </c>
      <c r="G134" s="8" t="str">
        <f>IFERROR(__xludf.DUMMYFUNCTION("""COMPUTED_VALUE"""),"Anacardier")</f>
        <v>Anacardier</v>
      </c>
      <c r="H134" s="8" t="str">
        <f>IFERROR(__xludf.DUMMYFUNCTION("""COMPUTED_VALUE"""),"graft")</f>
        <v>graft</v>
      </c>
      <c r="I134" s="8" t="str">
        <f>IFERROR(__xludf.DUMMYFUNCTION("""COMPUTED_VALUE"""),"C134")</f>
        <v>C134</v>
      </c>
      <c r="J134" s="8" t="str">
        <f>IFERROR(__xludf.DUMMYFUNCTION("""COMPUTED_VALUE"""),"12N02")</f>
        <v>12N02</v>
      </c>
      <c r="K134" s="8"/>
      <c r="L134" s="8">
        <f>IFERROR(__xludf.DUMMYFUNCTION("""COMPUTED_VALUE"""),1.0)</f>
        <v>1</v>
      </c>
      <c r="M134" s="8">
        <f>IFERROR(__xludf.DUMMYFUNCTION("""COMPUTED_VALUE"""),0.0)</f>
        <v>0</v>
      </c>
      <c r="N134" s="8">
        <f>IFERROR(__xludf.DUMMYFUNCTION("""COMPUTED_VALUE"""),22.0)</f>
        <v>22</v>
      </c>
      <c r="O134" s="8"/>
      <c r="P134" s="8"/>
      <c r="Q134" s="8"/>
      <c r="R134" s="8"/>
      <c r="S134" s="8"/>
      <c r="T134" s="8"/>
      <c r="U134" s="8"/>
      <c r="V134" s="8"/>
      <c r="W134" s="8"/>
      <c r="X134" s="8"/>
      <c r="Y134" s="8"/>
      <c r="Z134" s="8"/>
    </row>
    <row r="135">
      <c r="A135" s="8">
        <f>IFERROR(__xludf.DUMMYFUNCTION("""COMPUTED_VALUE"""),135.0)</f>
        <v>135</v>
      </c>
      <c r="B135" s="8" t="str">
        <f>IFERROR(__xludf.DUMMYFUNCTION("""COMPUTED_VALUE"""),"cashew")</f>
        <v>cashew</v>
      </c>
      <c r="C135" s="8" t="str">
        <f>IFERROR(__xludf.DUMMYFUNCTION("""COMPUTED_VALUE"""),"graft")</f>
        <v>graft</v>
      </c>
      <c r="D135" s="55" t="str">
        <f>IFERROR(__xludf.DUMMYFUNCTION("""COMPUTED_VALUE"""),"Anacardium occidentale")</f>
        <v>Anacardium occidentale</v>
      </c>
      <c r="E135" s="8" t="str">
        <f>IFERROR(__xludf.DUMMYFUNCTION("""COMPUTED_VALUE"""),"X4297 (Red)")</f>
        <v>X4297 (Red)</v>
      </c>
      <c r="F135" s="8" t="str">
        <f>IFERROR(__xludf.DUMMYFUNCTION("""COMPUTED_VALUE"""),"Cashew")</f>
        <v>Cashew</v>
      </c>
      <c r="G135" s="8" t="str">
        <f>IFERROR(__xludf.DUMMYFUNCTION("""COMPUTED_VALUE"""),"Anacardier")</f>
        <v>Anacardier</v>
      </c>
      <c r="H135" s="8" t="str">
        <f>IFERROR(__xludf.DUMMYFUNCTION("""COMPUTED_VALUE"""),"graft")</f>
        <v>graft</v>
      </c>
      <c r="I135" s="8" t="str">
        <f>IFERROR(__xludf.DUMMYFUNCTION("""COMPUTED_VALUE"""),"C135")</f>
        <v>C135</v>
      </c>
      <c r="J135" s="8" t="str">
        <f>IFERROR(__xludf.DUMMYFUNCTION("""COMPUTED_VALUE"""),"12N03")</f>
        <v>12N03</v>
      </c>
      <c r="K135" s="8"/>
      <c r="L135" s="8">
        <f>IFERROR(__xludf.DUMMYFUNCTION("""COMPUTED_VALUE"""),1.0)</f>
        <v>1</v>
      </c>
      <c r="M135" s="8">
        <f>IFERROR(__xludf.DUMMYFUNCTION("""COMPUTED_VALUE"""),0.0)</f>
        <v>0</v>
      </c>
      <c r="N135" s="8">
        <f>IFERROR(__xludf.DUMMYFUNCTION("""COMPUTED_VALUE"""),22.0)</f>
        <v>22</v>
      </c>
      <c r="O135" s="8"/>
      <c r="P135" s="8"/>
      <c r="Q135" s="8"/>
      <c r="R135" s="8"/>
      <c r="S135" s="8"/>
      <c r="T135" s="8"/>
      <c r="U135" s="8"/>
      <c r="V135" s="8"/>
      <c r="W135" s="8"/>
      <c r="X135" s="8"/>
      <c r="Y135" s="8"/>
      <c r="Z135" s="8"/>
    </row>
    <row r="136">
      <c r="A136" s="8">
        <f>IFERROR(__xludf.DUMMYFUNCTION("""COMPUTED_VALUE"""),136.0)</f>
        <v>136</v>
      </c>
      <c r="B136" s="8" t="str">
        <f>IFERROR(__xludf.DUMMYFUNCTION("""COMPUTED_VALUE"""),"cashew")</f>
        <v>cashew</v>
      </c>
      <c r="C136" s="8" t="str">
        <f>IFERROR(__xludf.DUMMYFUNCTION("""COMPUTED_VALUE"""),"graft")</f>
        <v>graft</v>
      </c>
      <c r="D136" s="55" t="str">
        <f>IFERROR(__xludf.DUMMYFUNCTION("""COMPUTED_VALUE"""),"Anacardium occidentale")</f>
        <v>Anacardium occidentale</v>
      </c>
      <c r="E136" s="8" t="str">
        <f>IFERROR(__xludf.DUMMYFUNCTION("""COMPUTED_VALUE"""),"X4297 (Red)")</f>
        <v>X4297 (Red)</v>
      </c>
      <c r="F136" s="8" t="str">
        <f>IFERROR(__xludf.DUMMYFUNCTION("""COMPUTED_VALUE"""),"Cashew")</f>
        <v>Cashew</v>
      </c>
      <c r="G136" s="8" t="str">
        <f>IFERROR(__xludf.DUMMYFUNCTION("""COMPUTED_VALUE"""),"Anacardier")</f>
        <v>Anacardier</v>
      </c>
      <c r="H136" s="8" t="str">
        <f>IFERROR(__xludf.DUMMYFUNCTION("""COMPUTED_VALUE"""),"graft")</f>
        <v>graft</v>
      </c>
      <c r="I136" s="8" t="str">
        <f>IFERROR(__xludf.DUMMYFUNCTION("""COMPUTED_VALUE"""),"C136")</f>
        <v>C136</v>
      </c>
      <c r="J136" s="8" t="str">
        <f>IFERROR(__xludf.DUMMYFUNCTION("""COMPUTED_VALUE"""),"12N04")</f>
        <v>12N04</v>
      </c>
      <c r="K136" s="8"/>
      <c r="L136" s="8">
        <f>IFERROR(__xludf.DUMMYFUNCTION("""COMPUTED_VALUE"""),1.0)</f>
        <v>1</v>
      </c>
      <c r="M136" s="8">
        <f>IFERROR(__xludf.DUMMYFUNCTION("""COMPUTED_VALUE"""),0.0)</f>
        <v>0</v>
      </c>
      <c r="N136" s="8">
        <f>IFERROR(__xludf.DUMMYFUNCTION("""COMPUTED_VALUE"""),22.0)</f>
        <v>22</v>
      </c>
      <c r="O136" s="8"/>
      <c r="P136" s="8"/>
      <c r="Q136" s="8"/>
      <c r="R136" s="8"/>
      <c r="S136" s="8"/>
      <c r="T136" s="8"/>
      <c r="U136" s="8"/>
      <c r="V136" s="8"/>
      <c r="W136" s="8"/>
      <c r="X136" s="8"/>
      <c r="Y136" s="8"/>
      <c r="Z136" s="8"/>
    </row>
    <row r="137">
      <c r="A137" s="8">
        <f>IFERROR(__xludf.DUMMYFUNCTION("""COMPUTED_VALUE"""),137.0)</f>
        <v>137</v>
      </c>
      <c r="B137" s="8" t="str">
        <f>IFERROR(__xludf.DUMMYFUNCTION("""COMPUTED_VALUE"""),"cashew")</f>
        <v>cashew</v>
      </c>
      <c r="C137" s="8" t="str">
        <f>IFERROR(__xludf.DUMMYFUNCTION("""COMPUTED_VALUE"""),"graft")</f>
        <v>graft</v>
      </c>
      <c r="D137" s="55" t="str">
        <f>IFERROR(__xludf.DUMMYFUNCTION("""COMPUTED_VALUE"""),"Anacardium occidentale")</f>
        <v>Anacardium occidentale</v>
      </c>
      <c r="E137" s="8" t="str">
        <f>IFERROR(__xludf.DUMMYFUNCTION("""COMPUTED_VALUE"""),"X4297 (Red)")</f>
        <v>X4297 (Red)</v>
      </c>
      <c r="F137" s="8" t="str">
        <f>IFERROR(__xludf.DUMMYFUNCTION("""COMPUTED_VALUE"""),"Cashew")</f>
        <v>Cashew</v>
      </c>
      <c r="G137" s="8" t="str">
        <f>IFERROR(__xludf.DUMMYFUNCTION("""COMPUTED_VALUE"""),"Anacardier")</f>
        <v>Anacardier</v>
      </c>
      <c r="H137" s="8" t="str">
        <f>IFERROR(__xludf.DUMMYFUNCTION("""COMPUTED_VALUE"""),"graft")</f>
        <v>graft</v>
      </c>
      <c r="I137" s="8" t="str">
        <f>IFERROR(__xludf.DUMMYFUNCTION("""COMPUTED_VALUE"""),"C137")</f>
        <v>C137</v>
      </c>
      <c r="J137" s="8" t="str">
        <f>IFERROR(__xludf.DUMMYFUNCTION("""COMPUTED_VALUE"""),"12N05")</f>
        <v>12N05</v>
      </c>
      <c r="K137" s="8"/>
      <c r="L137" s="8">
        <f>IFERROR(__xludf.DUMMYFUNCTION("""COMPUTED_VALUE"""),1.0)</f>
        <v>1</v>
      </c>
      <c r="M137" s="8">
        <f>IFERROR(__xludf.DUMMYFUNCTION("""COMPUTED_VALUE"""),0.0)</f>
        <v>0</v>
      </c>
      <c r="N137" s="8">
        <f>IFERROR(__xludf.DUMMYFUNCTION("""COMPUTED_VALUE"""),22.0)</f>
        <v>22</v>
      </c>
      <c r="O137" s="8"/>
      <c r="P137" s="8"/>
      <c r="Q137" s="8"/>
      <c r="R137" s="8"/>
      <c r="S137" s="8"/>
      <c r="T137" s="8"/>
      <c r="U137" s="8"/>
      <c r="V137" s="8"/>
      <c r="W137" s="8"/>
      <c r="X137" s="8"/>
      <c r="Y137" s="8"/>
      <c r="Z137" s="8"/>
    </row>
    <row r="138">
      <c r="A138" s="8">
        <f>IFERROR(__xludf.DUMMYFUNCTION("""COMPUTED_VALUE"""),138.0)</f>
        <v>138</v>
      </c>
      <c r="B138" s="8" t="str">
        <f>IFERROR(__xludf.DUMMYFUNCTION("""COMPUTED_VALUE"""),"cashew")</f>
        <v>cashew</v>
      </c>
      <c r="C138" s="8" t="str">
        <f>IFERROR(__xludf.DUMMYFUNCTION("""COMPUTED_VALUE"""),"graft")</f>
        <v>graft</v>
      </c>
      <c r="D138" s="55" t="str">
        <f>IFERROR(__xludf.DUMMYFUNCTION("""COMPUTED_VALUE"""),"Anacardium occidentale")</f>
        <v>Anacardium occidentale</v>
      </c>
      <c r="E138" s="8" t="str">
        <f>IFERROR(__xludf.DUMMYFUNCTION("""COMPUTED_VALUE"""),"X4297 (Red)")</f>
        <v>X4297 (Red)</v>
      </c>
      <c r="F138" s="8" t="str">
        <f>IFERROR(__xludf.DUMMYFUNCTION("""COMPUTED_VALUE"""),"Cashew")</f>
        <v>Cashew</v>
      </c>
      <c r="G138" s="8" t="str">
        <f>IFERROR(__xludf.DUMMYFUNCTION("""COMPUTED_VALUE"""),"Anacardier")</f>
        <v>Anacardier</v>
      </c>
      <c r="H138" s="8" t="str">
        <f>IFERROR(__xludf.DUMMYFUNCTION("""COMPUTED_VALUE"""),"graft")</f>
        <v>graft</v>
      </c>
      <c r="I138" s="8" t="str">
        <f>IFERROR(__xludf.DUMMYFUNCTION("""COMPUTED_VALUE"""),"C138")</f>
        <v>C138</v>
      </c>
      <c r="J138" s="8" t="str">
        <f>IFERROR(__xludf.DUMMYFUNCTION("""COMPUTED_VALUE"""),"12N06")</f>
        <v>12N06</v>
      </c>
      <c r="K138" s="8"/>
      <c r="L138" s="8">
        <f>IFERROR(__xludf.DUMMYFUNCTION("""COMPUTED_VALUE"""),1.0)</f>
        <v>1</v>
      </c>
      <c r="M138" s="8">
        <f>IFERROR(__xludf.DUMMYFUNCTION("""COMPUTED_VALUE"""),0.0)</f>
        <v>0</v>
      </c>
      <c r="N138" s="8">
        <f>IFERROR(__xludf.DUMMYFUNCTION("""COMPUTED_VALUE"""),22.0)</f>
        <v>22</v>
      </c>
      <c r="O138" s="8"/>
      <c r="P138" s="8"/>
      <c r="Q138" s="8"/>
      <c r="R138" s="8"/>
      <c r="S138" s="8"/>
      <c r="T138" s="8"/>
      <c r="U138" s="8"/>
      <c r="V138" s="8"/>
      <c r="W138" s="8"/>
      <c r="X138" s="8"/>
      <c r="Y138" s="8"/>
      <c r="Z138" s="8"/>
    </row>
    <row r="139">
      <c r="A139" s="8">
        <f>IFERROR(__xludf.DUMMYFUNCTION("""COMPUTED_VALUE"""),139.0)</f>
        <v>139</v>
      </c>
      <c r="B139" s="8" t="str">
        <f>IFERROR(__xludf.DUMMYFUNCTION("""COMPUTED_VALUE"""),"cashew")</f>
        <v>cashew</v>
      </c>
      <c r="C139" s="8" t="str">
        <f>IFERROR(__xludf.DUMMYFUNCTION("""COMPUTED_VALUE"""),"graft")</f>
        <v>graft</v>
      </c>
      <c r="D139" s="55" t="str">
        <f>IFERROR(__xludf.DUMMYFUNCTION("""COMPUTED_VALUE"""),"Anacardium occidentale")</f>
        <v>Anacardium occidentale</v>
      </c>
      <c r="E139" s="8" t="str">
        <f>IFERROR(__xludf.DUMMYFUNCTION("""COMPUTED_VALUE"""),"X3264 (Yellow)")</f>
        <v>X3264 (Yellow)</v>
      </c>
      <c r="F139" s="8" t="str">
        <f>IFERROR(__xludf.DUMMYFUNCTION("""COMPUTED_VALUE"""),"Cashew")</f>
        <v>Cashew</v>
      </c>
      <c r="G139" s="8" t="str">
        <f>IFERROR(__xludf.DUMMYFUNCTION("""COMPUTED_VALUE"""),"Anacardier")</f>
        <v>Anacardier</v>
      </c>
      <c r="H139" s="8" t="str">
        <f>IFERROR(__xludf.DUMMYFUNCTION("""COMPUTED_VALUE"""),"graft")</f>
        <v>graft</v>
      </c>
      <c r="I139" s="8" t="str">
        <f>IFERROR(__xludf.DUMMYFUNCTION("""COMPUTED_VALUE"""),"C139")</f>
        <v>C139</v>
      </c>
      <c r="J139" s="8" t="str">
        <f>IFERROR(__xludf.DUMMYFUNCTION("""COMPUTED_VALUE"""),"12N07")</f>
        <v>12N07</v>
      </c>
      <c r="K139" s="8"/>
      <c r="L139" s="8">
        <f>IFERROR(__xludf.DUMMYFUNCTION("""COMPUTED_VALUE"""),1.0)</f>
        <v>1</v>
      </c>
      <c r="M139" s="8">
        <f>IFERROR(__xludf.DUMMYFUNCTION("""COMPUTED_VALUE"""),0.0)</f>
        <v>0</v>
      </c>
      <c r="N139" s="8">
        <f>IFERROR(__xludf.DUMMYFUNCTION("""COMPUTED_VALUE"""),20.0)</f>
        <v>20</v>
      </c>
      <c r="O139" s="8"/>
      <c r="P139" s="8"/>
      <c r="Q139" s="8"/>
      <c r="R139" s="8"/>
      <c r="S139" s="8"/>
      <c r="T139" s="8"/>
      <c r="U139" s="8"/>
      <c r="V139" s="8"/>
      <c r="W139" s="8"/>
      <c r="X139" s="8"/>
      <c r="Y139" s="8"/>
      <c r="Z139" s="8"/>
    </row>
    <row r="140">
      <c r="A140" s="8">
        <f>IFERROR(__xludf.DUMMYFUNCTION("""COMPUTED_VALUE"""),140.0)</f>
        <v>140</v>
      </c>
      <c r="B140" s="8" t="str">
        <f>IFERROR(__xludf.DUMMYFUNCTION("""COMPUTED_VALUE"""),"cashew")</f>
        <v>cashew</v>
      </c>
      <c r="C140" s="8" t="str">
        <f>IFERROR(__xludf.DUMMYFUNCTION("""COMPUTED_VALUE"""),"graft")</f>
        <v>graft</v>
      </c>
      <c r="D140" s="55" t="str">
        <f>IFERROR(__xludf.DUMMYFUNCTION("""COMPUTED_VALUE"""),"Anacardium occidentale")</f>
        <v>Anacardium occidentale</v>
      </c>
      <c r="E140" s="8" t="str">
        <f>IFERROR(__xludf.DUMMYFUNCTION("""COMPUTED_VALUE"""),"X3264 (Yellow)")</f>
        <v>X3264 (Yellow)</v>
      </c>
      <c r="F140" s="8" t="str">
        <f>IFERROR(__xludf.DUMMYFUNCTION("""COMPUTED_VALUE"""),"Cashew")</f>
        <v>Cashew</v>
      </c>
      <c r="G140" s="8" t="str">
        <f>IFERROR(__xludf.DUMMYFUNCTION("""COMPUTED_VALUE"""),"Anacardier")</f>
        <v>Anacardier</v>
      </c>
      <c r="H140" s="8" t="str">
        <f>IFERROR(__xludf.DUMMYFUNCTION("""COMPUTED_VALUE"""),"graft")</f>
        <v>graft</v>
      </c>
      <c r="I140" s="8" t="str">
        <f>IFERROR(__xludf.DUMMYFUNCTION("""COMPUTED_VALUE"""),"C140")</f>
        <v>C140</v>
      </c>
      <c r="J140" s="8" t="str">
        <f>IFERROR(__xludf.DUMMYFUNCTION("""COMPUTED_VALUE"""),"12N08")</f>
        <v>12N08</v>
      </c>
      <c r="K140" s="8"/>
      <c r="L140" s="8">
        <f>IFERROR(__xludf.DUMMYFUNCTION("""COMPUTED_VALUE"""),1.0)</f>
        <v>1</v>
      </c>
      <c r="M140" s="8">
        <f>IFERROR(__xludf.DUMMYFUNCTION("""COMPUTED_VALUE"""),0.0)</f>
        <v>0</v>
      </c>
      <c r="N140" s="8">
        <f>IFERROR(__xludf.DUMMYFUNCTION("""COMPUTED_VALUE"""),20.0)</f>
        <v>20</v>
      </c>
      <c r="O140" s="8"/>
      <c r="P140" s="8"/>
      <c r="Q140" s="8"/>
      <c r="R140" s="8"/>
      <c r="S140" s="8"/>
      <c r="T140" s="8"/>
      <c r="U140" s="8"/>
      <c r="V140" s="8"/>
      <c r="W140" s="8"/>
      <c r="X140" s="8"/>
      <c r="Y140" s="8"/>
      <c r="Z140" s="8"/>
    </row>
    <row r="141">
      <c r="A141" s="8">
        <f>IFERROR(__xludf.DUMMYFUNCTION("""COMPUTED_VALUE"""),141.0)</f>
        <v>141</v>
      </c>
      <c r="B141" s="8" t="str">
        <f>IFERROR(__xludf.DUMMYFUNCTION("""COMPUTED_VALUE"""),"cashew")</f>
        <v>cashew</v>
      </c>
      <c r="C141" s="8" t="str">
        <f>IFERROR(__xludf.DUMMYFUNCTION("""COMPUTED_VALUE"""),"graft")</f>
        <v>graft</v>
      </c>
      <c r="D141" s="55" t="str">
        <f>IFERROR(__xludf.DUMMYFUNCTION("""COMPUTED_VALUE"""),"Anacardium occidentale")</f>
        <v>Anacardium occidentale</v>
      </c>
      <c r="E141" s="8" t="str">
        <f>IFERROR(__xludf.DUMMYFUNCTION("""COMPUTED_VALUE"""),"X3264 (Yellow)")</f>
        <v>X3264 (Yellow)</v>
      </c>
      <c r="F141" s="8" t="str">
        <f>IFERROR(__xludf.DUMMYFUNCTION("""COMPUTED_VALUE"""),"Cashew")</f>
        <v>Cashew</v>
      </c>
      <c r="G141" s="8" t="str">
        <f>IFERROR(__xludf.DUMMYFUNCTION("""COMPUTED_VALUE"""),"Anacardier")</f>
        <v>Anacardier</v>
      </c>
      <c r="H141" s="8" t="str">
        <f>IFERROR(__xludf.DUMMYFUNCTION("""COMPUTED_VALUE"""),"graft")</f>
        <v>graft</v>
      </c>
      <c r="I141" s="8" t="str">
        <f>IFERROR(__xludf.DUMMYFUNCTION("""COMPUTED_VALUE"""),"C141")</f>
        <v>C141</v>
      </c>
      <c r="J141" s="8" t="str">
        <f>IFERROR(__xludf.DUMMYFUNCTION("""COMPUTED_VALUE"""),"12N09")</f>
        <v>12N09</v>
      </c>
      <c r="K141" s="8"/>
      <c r="L141" s="8">
        <f>IFERROR(__xludf.DUMMYFUNCTION("""COMPUTED_VALUE"""),1.0)</f>
        <v>1</v>
      </c>
      <c r="M141" s="8">
        <f>IFERROR(__xludf.DUMMYFUNCTION("""COMPUTED_VALUE"""),0.0)</f>
        <v>0</v>
      </c>
      <c r="N141" s="8">
        <f>IFERROR(__xludf.DUMMYFUNCTION("""COMPUTED_VALUE"""),20.0)</f>
        <v>20</v>
      </c>
      <c r="O141" s="8"/>
      <c r="P141" s="8"/>
      <c r="Q141" s="8"/>
      <c r="R141" s="8"/>
      <c r="S141" s="8"/>
      <c r="T141" s="8"/>
      <c r="U141" s="8"/>
      <c r="V141" s="8"/>
      <c r="W141" s="8"/>
      <c r="X141" s="8"/>
      <c r="Y141" s="8"/>
      <c r="Z141" s="8"/>
    </row>
    <row r="142">
      <c r="A142" s="8">
        <f>IFERROR(__xludf.DUMMYFUNCTION("""COMPUTED_VALUE"""),142.0)</f>
        <v>142</v>
      </c>
      <c r="B142" s="8" t="str">
        <f>IFERROR(__xludf.DUMMYFUNCTION("""COMPUTED_VALUE"""),"cashew")</f>
        <v>cashew</v>
      </c>
      <c r="C142" s="8" t="str">
        <f>IFERROR(__xludf.DUMMYFUNCTION("""COMPUTED_VALUE"""),"graft")</f>
        <v>graft</v>
      </c>
      <c r="D142" s="55" t="str">
        <f>IFERROR(__xludf.DUMMYFUNCTION("""COMPUTED_VALUE"""),"Anacardium occidentale")</f>
        <v>Anacardium occidentale</v>
      </c>
      <c r="E142" s="8" t="str">
        <f>IFERROR(__xludf.DUMMYFUNCTION("""COMPUTED_VALUE"""),"X3264 (Yellow)")</f>
        <v>X3264 (Yellow)</v>
      </c>
      <c r="F142" s="8" t="str">
        <f>IFERROR(__xludf.DUMMYFUNCTION("""COMPUTED_VALUE"""),"Cashew")</f>
        <v>Cashew</v>
      </c>
      <c r="G142" s="8" t="str">
        <f>IFERROR(__xludf.DUMMYFUNCTION("""COMPUTED_VALUE"""),"Anacardier")</f>
        <v>Anacardier</v>
      </c>
      <c r="H142" s="8" t="str">
        <f>IFERROR(__xludf.DUMMYFUNCTION("""COMPUTED_VALUE"""),"graft")</f>
        <v>graft</v>
      </c>
      <c r="I142" s="8" t="str">
        <f>IFERROR(__xludf.DUMMYFUNCTION("""COMPUTED_VALUE"""),"C142")</f>
        <v>C142</v>
      </c>
      <c r="J142" s="8" t="str">
        <f>IFERROR(__xludf.DUMMYFUNCTION("""COMPUTED_VALUE"""),"12N10")</f>
        <v>12N10</v>
      </c>
      <c r="K142" s="8"/>
      <c r="L142" s="8">
        <f>IFERROR(__xludf.DUMMYFUNCTION("""COMPUTED_VALUE"""),1.0)</f>
        <v>1</v>
      </c>
      <c r="M142" s="8">
        <f>IFERROR(__xludf.DUMMYFUNCTION("""COMPUTED_VALUE"""),0.0)</f>
        <v>0</v>
      </c>
      <c r="N142" s="8">
        <f>IFERROR(__xludf.DUMMYFUNCTION("""COMPUTED_VALUE"""),20.0)</f>
        <v>20</v>
      </c>
      <c r="O142" s="8"/>
      <c r="P142" s="8"/>
      <c r="Q142" s="8"/>
      <c r="R142" s="8"/>
      <c r="S142" s="8"/>
      <c r="T142" s="8"/>
      <c r="U142" s="8"/>
      <c r="V142" s="8"/>
      <c r="W142" s="8"/>
      <c r="X142" s="8"/>
      <c r="Y142" s="8"/>
      <c r="Z142" s="8"/>
    </row>
    <row r="143">
      <c r="A143" s="8">
        <f>IFERROR(__xludf.DUMMYFUNCTION("""COMPUTED_VALUE"""),143.0)</f>
        <v>143</v>
      </c>
      <c r="B143" s="8" t="str">
        <f>IFERROR(__xludf.DUMMYFUNCTION("""COMPUTED_VALUE"""),"cashew")</f>
        <v>cashew</v>
      </c>
      <c r="C143" s="8" t="str">
        <f>IFERROR(__xludf.DUMMYFUNCTION("""COMPUTED_VALUE"""),"graft")</f>
        <v>graft</v>
      </c>
      <c r="D143" s="55" t="str">
        <f>IFERROR(__xludf.DUMMYFUNCTION("""COMPUTED_VALUE"""),"Anacardium occidentale")</f>
        <v>Anacardium occidentale</v>
      </c>
      <c r="E143" s="8" t="str">
        <f>IFERROR(__xludf.DUMMYFUNCTION("""COMPUTED_VALUE"""),"X3264 (Yellow)")</f>
        <v>X3264 (Yellow)</v>
      </c>
      <c r="F143" s="8" t="str">
        <f>IFERROR(__xludf.DUMMYFUNCTION("""COMPUTED_VALUE"""),"Cashew")</f>
        <v>Cashew</v>
      </c>
      <c r="G143" s="8" t="str">
        <f>IFERROR(__xludf.DUMMYFUNCTION("""COMPUTED_VALUE"""),"Anacardier")</f>
        <v>Anacardier</v>
      </c>
      <c r="H143" s="8" t="str">
        <f>IFERROR(__xludf.DUMMYFUNCTION("""COMPUTED_VALUE"""),"graft")</f>
        <v>graft</v>
      </c>
      <c r="I143" s="8" t="str">
        <f>IFERROR(__xludf.DUMMYFUNCTION("""COMPUTED_VALUE"""),"C143")</f>
        <v>C143</v>
      </c>
      <c r="J143" s="8" t="str">
        <f>IFERROR(__xludf.DUMMYFUNCTION("""COMPUTED_VALUE"""),"12N11")</f>
        <v>12N11</v>
      </c>
      <c r="K143" s="8"/>
      <c r="L143" s="8">
        <f>IFERROR(__xludf.DUMMYFUNCTION("""COMPUTED_VALUE"""),1.0)</f>
        <v>1</v>
      </c>
      <c r="M143" s="8">
        <f>IFERROR(__xludf.DUMMYFUNCTION("""COMPUTED_VALUE"""),0.0)</f>
        <v>0</v>
      </c>
      <c r="N143" s="8">
        <f>IFERROR(__xludf.DUMMYFUNCTION("""COMPUTED_VALUE"""),20.0)</f>
        <v>20</v>
      </c>
      <c r="O143" s="8"/>
      <c r="P143" s="8"/>
      <c r="Q143" s="8"/>
      <c r="R143" s="8"/>
      <c r="S143" s="8"/>
      <c r="T143" s="8"/>
      <c r="U143" s="8"/>
      <c r="V143" s="8"/>
      <c r="W143" s="8"/>
      <c r="X143" s="8"/>
      <c r="Y143" s="8"/>
      <c r="Z143" s="8"/>
    </row>
    <row r="144">
      <c r="A144" s="8">
        <f>IFERROR(__xludf.DUMMYFUNCTION("""COMPUTED_VALUE"""),144.0)</f>
        <v>144</v>
      </c>
      <c r="B144" s="8" t="str">
        <f>IFERROR(__xludf.DUMMYFUNCTION("""COMPUTED_VALUE"""),"cashew")</f>
        <v>cashew</v>
      </c>
      <c r="C144" s="8" t="str">
        <f>IFERROR(__xludf.DUMMYFUNCTION("""COMPUTED_VALUE"""),"graft")</f>
        <v>graft</v>
      </c>
      <c r="D144" s="55" t="str">
        <f>IFERROR(__xludf.DUMMYFUNCTION("""COMPUTED_VALUE"""),"Anacardium occidentale")</f>
        <v>Anacardium occidentale</v>
      </c>
      <c r="E144" s="8" t="str">
        <f>IFERROR(__xludf.DUMMYFUNCTION("""COMPUTED_VALUE"""),"X3264 (Yellow)")</f>
        <v>X3264 (Yellow)</v>
      </c>
      <c r="F144" s="8" t="str">
        <f>IFERROR(__xludf.DUMMYFUNCTION("""COMPUTED_VALUE"""),"Cashew")</f>
        <v>Cashew</v>
      </c>
      <c r="G144" s="8" t="str">
        <f>IFERROR(__xludf.DUMMYFUNCTION("""COMPUTED_VALUE"""),"Anacardier")</f>
        <v>Anacardier</v>
      </c>
      <c r="H144" s="8" t="str">
        <f>IFERROR(__xludf.DUMMYFUNCTION("""COMPUTED_VALUE"""),"graft")</f>
        <v>graft</v>
      </c>
      <c r="I144" s="8" t="str">
        <f>IFERROR(__xludf.DUMMYFUNCTION("""COMPUTED_VALUE"""),"C144")</f>
        <v>C144</v>
      </c>
      <c r="J144" s="8" t="str">
        <f>IFERROR(__xludf.DUMMYFUNCTION("""COMPUTED_VALUE"""),"12N12")</f>
        <v>12N12</v>
      </c>
      <c r="K144" s="8"/>
      <c r="L144" s="8">
        <f>IFERROR(__xludf.DUMMYFUNCTION("""COMPUTED_VALUE"""),1.0)</f>
        <v>1</v>
      </c>
      <c r="M144" s="8">
        <f>IFERROR(__xludf.DUMMYFUNCTION("""COMPUTED_VALUE"""),0.0)</f>
        <v>0</v>
      </c>
      <c r="N144" s="8">
        <f>IFERROR(__xludf.DUMMYFUNCTION("""COMPUTED_VALUE"""),20.0)</f>
        <v>20</v>
      </c>
      <c r="O144" s="8"/>
      <c r="P144" s="8"/>
      <c r="Q144" s="8"/>
      <c r="R144" s="8"/>
      <c r="S144" s="8"/>
      <c r="T144" s="8"/>
      <c r="U144" s="8"/>
      <c r="V144" s="8"/>
      <c r="W144" s="8"/>
      <c r="X144" s="8"/>
      <c r="Y144" s="8"/>
      <c r="Z144" s="8"/>
    </row>
    <row r="145">
      <c r="A145" s="8">
        <f>IFERROR(__xludf.DUMMYFUNCTION("""COMPUTED_VALUE"""),145.0)</f>
        <v>145</v>
      </c>
      <c r="B145" s="8" t="str">
        <f>IFERROR(__xludf.DUMMYFUNCTION("""COMPUTED_VALUE"""),"cashew")</f>
        <v>cashew</v>
      </c>
      <c r="C145" s="8" t="str">
        <f>IFERROR(__xludf.DUMMYFUNCTION("""COMPUTED_VALUE"""),"graft")</f>
        <v>graft</v>
      </c>
      <c r="D145" s="55" t="str">
        <f>IFERROR(__xludf.DUMMYFUNCTION("""COMPUTED_VALUE"""),"Anacardium occidentale")</f>
        <v>Anacardium occidentale</v>
      </c>
      <c r="E145" s="8" t="str">
        <f>IFERROR(__xludf.DUMMYFUNCTION("""COMPUTED_VALUE"""),"X3264 (Yellow)")</f>
        <v>X3264 (Yellow)</v>
      </c>
      <c r="F145" s="8" t="str">
        <f>IFERROR(__xludf.DUMMYFUNCTION("""COMPUTED_VALUE"""),"Cashew")</f>
        <v>Cashew</v>
      </c>
      <c r="G145" s="8" t="str">
        <f>IFERROR(__xludf.DUMMYFUNCTION("""COMPUTED_VALUE"""),"Anacardier")</f>
        <v>Anacardier</v>
      </c>
      <c r="H145" s="8" t="str">
        <f>IFERROR(__xludf.DUMMYFUNCTION("""COMPUTED_VALUE"""),"graft")</f>
        <v>graft</v>
      </c>
      <c r="I145" s="8" t="str">
        <f>IFERROR(__xludf.DUMMYFUNCTION("""COMPUTED_VALUE"""),"C145")</f>
        <v>C145</v>
      </c>
      <c r="J145" s="8" t="str">
        <f>IFERROR(__xludf.DUMMYFUNCTION("""COMPUTED_VALUE"""),"13N01")</f>
        <v>13N01</v>
      </c>
      <c r="K145" s="8"/>
      <c r="L145" s="8">
        <f>IFERROR(__xludf.DUMMYFUNCTION("""COMPUTED_VALUE"""),1.0)</f>
        <v>1</v>
      </c>
      <c r="M145" s="8">
        <f>IFERROR(__xludf.DUMMYFUNCTION("""COMPUTED_VALUE"""),0.0)</f>
        <v>0</v>
      </c>
      <c r="N145" s="8">
        <f>IFERROR(__xludf.DUMMYFUNCTION("""COMPUTED_VALUE"""),20.0)</f>
        <v>20</v>
      </c>
      <c r="O145" s="8"/>
      <c r="P145" s="8"/>
      <c r="Q145" s="8"/>
      <c r="R145" s="8"/>
      <c r="S145" s="8"/>
      <c r="T145" s="8"/>
      <c r="U145" s="8"/>
      <c r="V145" s="8"/>
      <c r="W145" s="8"/>
      <c r="X145" s="8"/>
      <c r="Y145" s="8"/>
      <c r="Z145" s="8"/>
    </row>
    <row r="146">
      <c r="A146" s="8">
        <f>IFERROR(__xludf.DUMMYFUNCTION("""COMPUTED_VALUE"""),146.0)</f>
        <v>146</v>
      </c>
      <c r="B146" s="8" t="str">
        <f>IFERROR(__xludf.DUMMYFUNCTION("""COMPUTED_VALUE"""),"cashew")</f>
        <v>cashew</v>
      </c>
      <c r="C146" s="8" t="str">
        <f>IFERROR(__xludf.DUMMYFUNCTION("""COMPUTED_VALUE"""),"graft")</f>
        <v>graft</v>
      </c>
      <c r="D146" s="55" t="str">
        <f>IFERROR(__xludf.DUMMYFUNCTION("""COMPUTED_VALUE"""),"Anacardium occidentale")</f>
        <v>Anacardium occidentale</v>
      </c>
      <c r="E146" s="8" t="str">
        <f>IFERROR(__xludf.DUMMYFUNCTION("""COMPUTED_VALUE"""),"X3264 (Yellow)")</f>
        <v>X3264 (Yellow)</v>
      </c>
      <c r="F146" s="8" t="str">
        <f>IFERROR(__xludf.DUMMYFUNCTION("""COMPUTED_VALUE"""),"Cashew")</f>
        <v>Cashew</v>
      </c>
      <c r="G146" s="8" t="str">
        <f>IFERROR(__xludf.DUMMYFUNCTION("""COMPUTED_VALUE"""),"Anacardier")</f>
        <v>Anacardier</v>
      </c>
      <c r="H146" s="8" t="str">
        <f>IFERROR(__xludf.DUMMYFUNCTION("""COMPUTED_VALUE"""),"graft")</f>
        <v>graft</v>
      </c>
      <c r="I146" s="8" t="str">
        <f>IFERROR(__xludf.DUMMYFUNCTION("""COMPUTED_VALUE"""),"C146")</f>
        <v>C146</v>
      </c>
      <c r="J146" s="8" t="str">
        <f>IFERROR(__xludf.DUMMYFUNCTION("""COMPUTED_VALUE"""),"13N02")</f>
        <v>13N02</v>
      </c>
      <c r="K146" s="8"/>
      <c r="L146" s="8">
        <f>IFERROR(__xludf.DUMMYFUNCTION("""COMPUTED_VALUE"""),1.0)</f>
        <v>1</v>
      </c>
      <c r="M146" s="8">
        <f>IFERROR(__xludf.DUMMYFUNCTION("""COMPUTED_VALUE"""),0.0)</f>
        <v>0</v>
      </c>
      <c r="N146" s="8">
        <f>IFERROR(__xludf.DUMMYFUNCTION("""COMPUTED_VALUE"""),20.0)</f>
        <v>20</v>
      </c>
      <c r="O146" s="8"/>
      <c r="P146" s="8"/>
      <c r="Q146" s="8"/>
      <c r="R146" s="8"/>
      <c r="S146" s="8"/>
      <c r="T146" s="8"/>
      <c r="U146" s="8"/>
      <c r="V146" s="8"/>
      <c r="W146" s="8"/>
      <c r="X146" s="8"/>
      <c r="Y146" s="8"/>
      <c r="Z146" s="8"/>
    </row>
    <row r="147">
      <c r="A147" s="8">
        <f>IFERROR(__xludf.DUMMYFUNCTION("""COMPUTED_VALUE"""),147.0)</f>
        <v>147</v>
      </c>
      <c r="B147" s="8" t="str">
        <f>IFERROR(__xludf.DUMMYFUNCTION("""COMPUTED_VALUE"""),"cashew")</f>
        <v>cashew</v>
      </c>
      <c r="C147" s="8" t="str">
        <f>IFERROR(__xludf.DUMMYFUNCTION("""COMPUTED_VALUE"""),"graft")</f>
        <v>graft</v>
      </c>
      <c r="D147" s="55" t="str">
        <f>IFERROR(__xludf.DUMMYFUNCTION("""COMPUTED_VALUE"""),"Anacardium occidentale")</f>
        <v>Anacardium occidentale</v>
      </c>
      <c r="E147" s="8" t="str">
        <f>IFERROR(__xludf.DUMMYFUNCTION("""COMPUTED_VALUE"""),"X3264 (Yellow)")</f>
        <v>X3264 (Yellow)</v>
      </c>
      <c r="F147" s="8" t="str">
        <f>IFERROR(__xludf.DUMMYFUNCTION("""COMPUTED_VALUE"""),"Cashew")</f>
        <v>Cashew</v>
      </c>
      <c r="G147" s="8" t="str">
        <f>IFERROR(__xludf.DUMMYFUNCTION("""COMPUTED_VALUE"""),"Anacardier")</f>
        <v>Anacardier</v>
      </c>
      <c r="H147" s="8" t="str">
        <f>IFERROR(__xludf.DUMMYFUNCTION("""COMPUTED_VALUE"""),"graft")</f>
        <v>graft</v>
      </c>
      <c r="I147" s="8" t="str">
        <f>IFERROR(__xludf.DUMMYFUNCTION("""COMPUTED_VALUE"""),"C147")</f>
        <v>C147</v>
      </c>
      <c r="J147" s="8" t="str">
        <f>IFERROR(__xludf.DUMMYFUNCTION("""COMPUTED_VALUE"""),"13N03")</f>
        <v>13N03</v>
      </c>
      <c r="K147" s="8"/>
      <c r="L147" s="8">
        <f>IFERROR(__xludf.DUMMYFUNCTION("""COMPUTED_VALUE"""),1.0)</f>
        <v>1</v>
      </c>
      <c r="M147" s="8">
        <f>IFERROR(__xludf.DUMMYFUNCTION("""COMPUTED_VALUE"""),0.0)</f>
        <v>0</v>
      </c>
      <c r="N147" s="8">
        <f>IFERROR(__xludf.DUMMYFUNCTION("""COMPUTED_VALUE"""),20.0)</f>
        <v>20</v>
      </c>
      <c r="O147" s="8"/>
      <c r="P147" s="8"/>
      <c r="Q147" s="8"/>
      <c r="R147" s="8"/>
      <c r="S147" s="8"/>
      <c r="T147" s="8"/>
      <c r="U147" s="8"/>
      <c r="V147" s="8"/>
      <c r="W147" s="8"/>
      <c r="X147" s="8"/>
      <c r="Y147" s="8"/>
      <c r="Z147" s="8"/>
    </row>
    <row r="148">
      <c r="A148" s="8">
        <f>IFERROR(__xludf.DUMMYFUNCTION("""COMPUTED_VALUE"""),148.0)</f>
        <v>148</v>
      </c>
      <c r="B148" s="8" t="str">
        <f>IFERROR(__xludf.DUMMYFUNCTION("""COMPUTED_VALUE"""),"cashew")</f>
        <v>cashew</v>
      </c>
      <c r="C148" s="8" t="str">
        <f>IFERROR(__xludf.DUMMYFUNCTION("""COMPUTED_VALUE"""),"graft")</f>
        <v>graft</v>
      </c>
      <c r="D148" s="55" t="str">
        <f>IFERROR(__xludf.DUMMYFUNCTION("""COMPUTED_VALUE"""),"Anacardium occidentale")</f>
        <v>Anacardium occidentale</v>
      </c>
      <c r="E148" s="8" t="str">
        <f>IFERROR(__xludf.DUMMYFUNCTION("""COMPUTED_VALUE"""),"X3264 (Yellow)")</f>
        <v>X3264 (Yellow)</v>
      </c>
      <c r="F148" s="8" t="str">
        <f>IFERROR(__xludf.DUMMYFUNCTION("""COMPUTED_VALUE"""),"Cashew")</f>
        <v>Cashew</v>
      </c>
      <c r="G148" s="8" t="str">
        <f>IFERROR(__xludf.DUMMYFUNCTION("""COMPUTED_VALUE"""),"Anacardier")</f>
        <v>Anacardier</v>
      </c>
      <c r="H148" s="8" t="str">
        <f>IFERROR(__xludf.DUMMYFUNCTION("""COMPUTED_VALUE"""),"graft")</f>
        <v>graft</v>
      </c>
      <c r="I148" s="8" t="str">
        <f>IFERROR(__xludf.DUMMYFUNCTION("""COMPUTED_VALUE"""),"C148")</f>
        <v>C148</v>
      </c>
      <c r="J148" s="8" t="str">
        <f>IFERROR(__xludf.DUMMYFUNCTION("""COMPUTED_VALUE"""),"13N04")</f>
        <v>13N04</v>
      </c>
      <c r="K148" s="8"/>
      <c r="L148" s="8">
        <f>IFERROR(__xludf.DUMMYFUNCTION("""COMPUTED_VALUE"""),1.0)</f>
        <v>1</v>
      </c>
      <c r="M148" s="8">
        <f>IFERROR(__xludf.DUMMYFUNCTION("""COMPUTED_VALUE"""),0.0)</f>
        <v>0</v>
      </c>
      <c r="N148" s="8">
        <f>IFERROR(__xludf.DUMMYFUNCTION("""COMPUTED_VALUE"""),20.0)</f>
        <v>20</v>
      </c>
      <c r="O148" s="8"/>
      <c r="P148" s="8"/>
      <c r="Q148" s="8"/>
      <c r="R148" s="8"/>
      <c r="S148" s="8"/>
      <c r="T148" s="8"/>
      <c r="U148" s="8"/>
      <c r="V148" s="8"/>
      <c r="W148" s="8"/>
      <c r="X148" s="8"/>
      <c r="Y148" s="8"/>
      <c r="Z148" s="8"/>
    </row>
    <row r="149">
      <c r="A149" s="8">
        <f>IFERROR(__xludf.DUMMYFUNCTION("""COMPUTED_VALUE"""),149.0)</f>
        <v>149</v>
      </c>
      <c r="B149" s="8" t="str">
        <f>IFERROR(__xludf.DUMMYFUNCTION("""COMPUTED_VALUE"""),"cashew")</f>
        <v>cashew</v>
      </c>
      <c r="C149" s="8" t="str">
        <f>IFERROR(__xludf.DUMMYFUNCTION("""COMPUTED_VALUE"""),"graft")</f>
        <v>graft</v>
      </c>
      <c r="D149" s="55" t="str">
        <f>IFERROR(__xludf.DUMMYFUNCTION("""COMPUTED_VALUE"""),"Anacardium occidentale")</f>
        <v>Anacardium occidentale</v>
      </c>
      <c r="E149" s="8" t="str">
        <f>IFERROR(__xludf.DUMMYFUNCTION("""COMPUTED_VALUE"""),"X3264 (Yellow)")</f>
        <v>X3264 (Yellow)</v>
      </c>
      <c r="F149" s="8" t="str">
        <f>IFERROR(__xludf.DUMMYFUNCTION("""COMPUTED_VALUE"""),"Cashew")</f>
        <v>Cashew</v>
      </c>
      <c r="G149" s="8" t="str">
        <f>IFERROR(__xludf.DUMMYFUNCTION("""COMPUTED_VALUE"""),"Anacardier")</f>
        <v>Anacardier</v>
      </c>
      <c r="H149" s="8" t="str">
        <f>IFERROR(__xludf.DUMMYFUNCTION("""COMPUTED_VALUE"""),"graft")</f>
        <v>graft</v>
      </c>
      <c r="I149" s="8" t="str">
        <f>IFERROR(__xludf.DUMMYFUNCTION("""COMPUTED_VALUE"""),"C149")</f>
        <v>C149</v>
      </c>
      <c r="J149" s="8" t="str">
        <f>IFERROR(__xludf.DUMMYFUNCTION("""COMPUTED_VALUE"""),"13N05")</f>
        <v>13N05</v>
      </c>
      <c r="K149" s="8"/>
      <c r="L149" s="8">
        <f>IFERROR(__xludf.DUMMYFUNCTION("""COMPUTED_VALUE"""),1.0)</f>
        <v>1</v>
      </c>
      <c r="M149" s="8">
        <f>IFERROR(__xludf.DUMMYFUNCTION("""COMPUTED_VALUE"""),0.0)</f>
        <v>0</v>
      </c>
      <c r="N149" s="8">
        <f>IFERROR(__xludf.DUMMYFUNCTION("""COMPUTED_VALUE"""),20.0)</f>
        <v>20</v>
      </c>
      <c r="O149" s="8"/>
      <c r="P149" s="8"/>
      <c r="Q149" s="8"/>
      <c r="R149" s="8"/>
      <c r="S149" s="8"/>
      <c r="T149" s="8"/>
      <c r="U149" s="8"/>
      <c r="V149" s="8"/>
      <c r="W149" s="8"/>
      <c r="X149" s="8"/>
      <c r="Y149" s="8"/>
      <c r="Z149" s="8"/>
    </row>
    <row r="150">
      <c r="A150" s="8">
        <f>IFERROR(__xludf.DUMMYFUNCTION("""COMPUTED_VALUE"""),150.0)</f>
        <v>150</v>
      </c>
      <c r="B150" s="8" t="str">
        <f>IFERROR(__xludf.DUMMYFUNCTION("""COMPUTED_VALUE"""),"cashew")</f>
        <v>cashew</v>
      </c>
      <c r="C150" s="8" t="str">
        <f>IFERROR(__xludf.DUMMYFUNCTION("""COMPUTED_VALUE"""),"graft")</f>
        <v>graft</v>
      </c>
      <c r="D150" s="55" t="str">
        <f>IFERROR(__xludf.DUMMYFUNCTION("""COMPUTED_VALUE"""),"Anacardium occidentale")</f>
        <v>Anacardium occidentale</v>
      </c>
      <c r="E150" s="8" t="str">
        <f>IFERROR(__xludf.DUMMYFUNCTION("""COMPUTED_VALUE"""),"X3264 (Yellow)")</f>
        <v>X3264 (Yellow)</v>
      </c>
      <c r="F150" s="8" t="str">
        <f>IFERROR(__xludf.DUMMYFUNCTION("""COMPUTED_VALUE"""),"Cashew")</f>
        <v>Cashew</v>
      </c>
      <c r="G150" s="8" t="str">
        <f>IFERROR(__xludf.DUMMYFUNCTION("""COMPUTED_VALUE"""),"Anacardier")</f>
        <v>Anacardier</v>
      </c>
      <c r="H150" s="8" t="str">
        <f>IFERROR(__xludf.DUMMYFUNCTION("""COMPUTED_VALUE"""),"graft")</f>
        <v>graft</v>
      </c>
      <c r="I150" s="8" t="str">
        <f>IFERROR(__xludf.DUMMYFUNCTION("""COMPUTED_VALUE"""),"C150")</f>
        <v>C150</v>
      </c>
      <c r="J150" s="8" t="str">
        <f>IFERROR(__xludf.DUMMYFUNCTION("""COMPUTED_VALUE"""),"13N06")</f>
        <v>13N06</v>
      </c>
      <c r="K150" s="8"/>
      <c r="L150" s="8">
        <f>IFERROR(__xludf.DUMMYFUNCTION("""COMPUTED_VALUE"""),1.0)</f>
        <v>1</v>
      </c>
      <c r="M150" s="8">
        <f>IFERROR(__xludf.DUMMYFUNCTION("""COMPUTED_VALUE"""),0.0)</f>
        <v>0</v>
      </c>
      <c r="N150" s="8">
        <f>IFERROR(__xludf.DUMMYFUNCTION("""COMPUTED_VALUE"""),20.0)</f>
        <v>20</v>
      </c>
      <c r="O150" s="8"/>
      <c r="P150" s="8"/>
      <c r="Q150" s="8"/>
      <c r="R150" s="8"/>
      <c r="S150" s="8"/>
      <c r="T150" s="8"/>
      <c r="U150" s="8"/>
      <c r="V150" s="8"/>
      <c r="W150" s="8"/>
      <c r="X150" s="8"/>
      <c r="Y150" s="8"/>
      <c r="Z150" s="8"/>
    </row>
    <row r="151">
      <c r="A151" s="8">
        <f>IFERROR(__xludf.DUMMYFUNCTION("""COMPUTED_VALUE"""),151.0)</f>
        <v>151</v>
      </c>
      <c r="B151" s="8" t="str">
        <f>IFERROR(__xludf.DUMMYFUNCTION("""COMPUTED_VALUE"""),"cashew")</f>
        <v>cashew</v>
      </c>
      <c r="C151" s="8" t="str">
        <f>IFERROR(__xludf.DUMMYFUNCTION("""COMPUTED_VALUE"""),"graft")</f>
        <v>graft</v>
      </c>
      <c r="D151" s="55" t="str">
        <f>IFERROR(__xludf.DUMMYFUNCTION("""COMPUTED_VALUE"""),"Anacardium occidentale")</f>
        <v>Anacardium occidentale</v>
      </c>
      <c r="E151" s="8" t="str">
        <f>IFERROR(__xludf.DUMMYFUNCTION("""COMPUTED_VALUE"""),"X3264 (Yellow)")</f>
        <v>X3264 (Yellow)</v>
      </c>
      <c r="F151" s="8" t="str">
        <f>IFERROR(__xludf.DUMMYFUNCTION("""COMPUTED_VALUE"""),"Cashew")</f>
        <v>Cashew</v>
      </c>
      <c r="G151" s="8" t="str">
        <f>IFERROR(__xludf.DUMMYFUNCTION("""COMPUTED_VALUE"""),"Anacardier")</f>
        <v>Anacardier</v>
      </c>
      <c r="H151" s="8" t="str">
        <f>IFERROR(__xludf.DUMMYFUNCTION("""COMPUTED_VALUE"""),"graft")</f>
        <v>graft</v>
      </c>
      <c r="I151" s="8" t="str">
        <f>IFERROR(__xludf.DUMMYFUNCTION("""COMPUTED_VALUE"""),"C151")</f>
        <v>C151</v>
      </c>
      <c r="J151" s="8" t="str">
        <f>IFERROR(__xludf.DUMMYFUNCTION("""COMPUTED_VALUE"""),"13N07")</f>
        <v>13N07</v>
      </c>
      <c r="K151" s="8"/>
      <c r="L151" s="8">
        <f>IFERROR(__xludf.DUMMYFUNCTION("""COMPUTED_VALUE"""),1.0)</f>
        <v>1</v>
      </c>
      <c r="M151" s="8">
        <f>IFERROR(__xludf.DUMMYFUNCTION("""COMPUTED_VALUE"""),0.0)</f>
        <v>0</v>
      </c>
      <c r="N151" s="8">
        <f>IFERROR(__xludf.DUMMYFUNCTION("""COMPUTED_VALUE"""),20.0)</f>
        <v>20</v>
      </c>
      <c r="O151" s="8"/>
      <c r="P151" s="8"/>
      <c r="Q151" s="8"/>
      <c r="R151" s="8"/>
      <c r="S151" s="8"/>
      <c r="T151" s="8"/>
      <c r="U151" s="8"/>
      <c r="V151" s="8"/>
      <c r="W151" s="8"/>
      <c r="X151" s="8"/>
      <c r="Y151" s="8"/>
      <c r="Z151" s="8"/>
    </row>
    <row r="152">
      <c r="A152" s="8">
        <f>IFERROR(__xludf.DUMMYFUNCTION("""COMPUTED_VALUE"""),152.0)</f>
        <v>152</v>
      </c>
      <c r="B152" s="8" t="str">
        <f>IFERROR(__xludf.DUMMYFUNCTION("""COMPUTED_VALUE"""),"cashew")</f>
        <v>cashew</v>
      </c>
      <c r="C152" s="8" t="str">
        <f>IFERROR(__xludf.DUMMYFUNCTION("""COMPUTED_VALUE"""),"graft")</f>
        <v>graft</v>
      </c>
      <c r="D152" s="55" t="str">
        <f>IFERROR(__xludf.DUMMYFUNCTION("""COMPUTED_VALUE"""),"Anacardium occidentale")</f>
        <v>Anacardium occidentale</v>
      </c>
      <c r="E152" s="8" t="str">
        <f>IFERROR(__xludf.DUMMYFUNCTION("""COMPUTED_VALUE"""),"X3264 (Yellow)")</f>
        <v>X3264 (Yellow)</v>
      </c>
      <c r="F152" s="8" t="str">
        <f>IFERROR(__xludf.DUMMYFUNCTION("""COMPUTED_VALUE"""),"Cashew")</f>
        <v>Cashew</v>
      </c>
      <c r="G152" s="8" t="str">
        <f>IFERROR(__xludf.DUMMYFUNCTION("""COMPUTED_VALUE"""),"Anacardier")</f>
        <v>Anacardier</v>
      </c>
      <c r="H152" s="8" t="str">
        <f>IFERROR(__xludf.DUMMYFUNCTION("""COMPUTED_VALUE"""),"graft")</f>
        <v>graft</v>
      </c>
      <c r="I152" s="8" t="str">
        <f>IFERROR(__xludf.DUMMYFUNCTION("""COMPUTED_VALUE"""),"C152")</f>
        <v>C152</v>
      </c>
      <c r="J152" s="8" t="str">
        <f>IFERROR(__xludf.DUMMYFUNCTION("""COMPUTED_VALUE"""),"13N08")</f>
        <v>13N08</v>
      </c>
      <c r="K152" s="8"/>
      <c r="L152" s="8">
        <f>IFERROR(__xludf.DUMMYFUNCTION("""COMPUTED_VALUE"""),1.0)</f>
        <v>1</v>
      </c>
      <c r="M152" s="8">
        <f>IFERROR(__xludf.DUMMYFUNCTION("""COMPUTED_VALUE"""),0.0)</f>
        <v>0</v>
      </c>
      <c r="N152" s="8">
        <f>IFERROR(__xludf.DUMMYFUNCTION("""COMPUTED_VALUE"""),20.0)</f>
        <v>20</v>
      </c>
      <c r="O152" s="8"/>
      <c r="P152" s="8"/>
      <c r="Q152" s="8"/>
      <c r="R152" s="8"/>
      <c r="S152" s="8"/>
      <c r="T152" s="8"/>
      <c r="U152" s="8"/>
      <c r="V152" s="8"/>
      <c r="W152" s="8"/>
      <c r="X152" s="8"/>
      <c r="Y152" s="8"/>
      <c r="Z152" s="8"/>
    </row>
    <row r="153">
      <c r="A153" s="8">
        <f>IFERROR(__xludf.DUMMYFUNCTION("""COMPUTED_VALUE"""),153.0)</f>
        <v>153</v>
      </c>
      <c r="B153" s="8" t="str">
        <f>IFERROR(__xludf.DUMMYFUNCTION("""COMPUTED_VALUE"""),"cashew")</f>
        <v>cashew</v>
      </c>
      <c r="C153" s="8" t="str">
        <f>IFERROR(__xludf.DUMMYFUNCTION("""COMPUTED_VALUE"""),"graft")</f>
        <v>graft</v>
      </c>
      <c r="D153" s="55" t="str">
        <f>IFERROR(__xludf.DUMMYFUNCTION("""COMPUTED_VALUE"""),"Anacardium occidentale")</f>
        <v>Anacardium occidentale</v>
      </c>
      <c r="E153" s="8" t="str">
        <f>IFERROR(__xludf.DUMMYFUNCTION("""COMPUTED_VALUE"""),"X3264 (Yellow)")</f>
        <v>X3264 (Yellow)</v>
      </c>
      <c r="F153" s="8" t="str">
        <f>IFERROR(__xludf.DUMMYFUNCTION("""COMPUTED_VALUE"""),"Cashew")</f>
        <v>Cashew</v>
      </c>
      <c r="G153" s="8" t="str">
        <f>IFERROR(__xludf.DUMMYFUNCTION("""COMPUTED_VALUE"""),"Anacardier")</f>
        <v>Anacardier</v>
      </c>
      <c r="H153" s="8" t="str">
        <f>IFERROR(__xludf.DUMMYFUNCTION("""COMPUTED_VALUE"""),"graft")</f>
        <v>graft</v>
      </c>
      <c r="I153" s="8" t="str">
        <f>IFERROR(__xludf.DUMMYFUNCTION("""COMPUTED_VALUE"""),"C153")</f>
        <v>C153</v>
      </c>
      <c r="J153" s="8" t="str">
        <f>IFERROR(__xludf.DUMMYFUNCTION("""COMPUTED_VALUE"""),"13N09")</f>
        <v>13N09</v>
      </c>
      <c r="K153" s="8"/>
      <c r="L153" s="8">
        <f>IFERROR(__xludf.DUMMYFUNCTION("""COMPUTED_VALUE"""),1.0)</f>
        <v>1</v>
      </c>
      <c r="M153" s="8">
        <f>IFERROR(__xludf.DUMMYFUNCTION("""COMPUTED_VALUE"""),0.0)</f>
        <v>0</v>
      </c>
      <c r="N153" s="8">
        <f>IFERROR(__xludf.DUMMYFUNCTION("""COMPUTED_VALUE"""),20.0)</f>
        <v>20</v>
      </c>
      <c r="O153" s="8"/>
      <c r="P153" s="8"/>
      <c r="Q153" s="8"/>
      <c r="R153" s="8"/>
      <c r="S153" s="8"/>
      <c r="T153" s="8"/>
      <c r="U153" s="8"/>
      <c r="V153" s="8"/>
      <c r="W153" s="8"/>
      <c r="X153" s="8"/>
      <c r="Y153" s="8"/>
      <c r="Z153" s="8"/>
    </row>
    <row r="154">
      <c r="A154" s="8">
        <f>IFERROR(__xludf.DUMMYFUNCTION("""COMPUTED_VALUE"""),154.0)</f>
        <v>154</v>
      </c>
      <c r="B154" s="8" t="str">
        <f>IFERROR(__xludf.DUMMYFUNCTION("""COMPUTED_VALUE"""),"cashew")</f>
        <v>cashew</v>
      </c>
      <c r="C154" s="8" t="str">
        <f>IFERROR(__xludf.DUMMYFUNCTION("""COMPUTED_VALUE"""),"graft")</f>
        <v>graft</v>
      </c>
      <c r="D154" s="55" t="str">
        <f>IFERROR(__xludf.DUMMYFUNCTION("""COMPUTED_VALUE"""),"Anacardium occidentale")</f>
        <v>Anacardium occidentale</v>
      </c>
      <c r="E154" s="8" t="str">
        <f>IFERROR(__xludf.DUMMYFUNCTION("""COMPUTED_VALUE"""),"X3264 (Yellow)")</f>
        <v>X3264 (Yellow)</v>
      </c>
      <c r="F154" s="8" t="str">
        <f>IFERROR(__xludf.DUMMYFUNCTION("""COMPUTED_VALUE"""),"Cashew")</f>
        <v>Cashew</v>
      </c>
      <c r="G154" s="8" t="str">
        <f>IFERROR(__xludf.DUMMYFUNCTION("""COMPUTED_VALUE"""),"Anacardier")</f>
        <v>Anacardier</v>
      </c>
      <c r="H154" s="8" t="str">
        <f>IFERROR(__xludf.DUMMYFUNCTION("""COMPUTED_VALUE"""),"graft")</f>
        <v>graft</v>
      </c>
      <c r="I154" s="8" t="str">
        <f>IFERROR(__xludf.DUMMYFUNCTION("""COMPUTED_VALUE"""),"C154")</f>
        <v>C154</v>
      </c>
      <c r="J154" s="8" t="str">
        <f>IFERROR(__xludf.DUMMYFUNCTION("""COMPUTED_VALUE"""),"13N10")</f>
        <v>13N10</v>
      </c>
      <c r="K154" s="8"/>
      <c r="L154" s="8">
        <f>IFERROR(__xludf.DUMMYFUNCTION("""COMPUTED_VALUE"""),1.0)</f>
        <v>1</v>
      </c>
      <c r="M154" s="8">
        <f>IFERROR(__xludf.DUMMYFUNCTION("""COMPUTED_VALUE"""),0.0)</f>
        <v>0</v>
      </c>
      <c r="N154" s="8">
        <f>IFERROR(__xludf.DUMMYFUNCTION("""COMPUTED_VALUE"""),20.0)</f>
        <v>20</v>
      </c>
      <c r="O154" s="8"/>
      <c r="P154" s="8"/>
      <c r="Q154" s="8"/>
      <c r="R154" s="8"/>
      <c r="S154" s="8"/>
      <c r="T154" s="8"/>
      <c r="U154" s="8"/>
      <c r="V154" s="8"/>
      <c r="W154" s="8"/>
      <c r="X154" s="8"/>
      <c r="Y154" s="8"/>
      <c r="Z154" s="8"/>
    </row>
    <row r="155">
      <c r="A155" s="8">
        <f>IFERROR(__xludf.DUMMYFUNCTION("""COMPUTED_VALUE"""),155.0)</f>
        <v>155</v>
      </c>
      <c r="B155" s="8" t="str">
        <f>IFERROR(__xludf.DUMMYFUNCTION("""COMPUTED_VALUE"""),"cashew")</f>
        <v>cashew</v>
      </c>
      <c r="C155" s="8" t="str">
        <f>IFERROR(__xludf.DUMMYFUNCTION("""COMPUTED_VALUE"""),"graft")</f>
        <v>graft</v>
      </c>
      <c r="D155" s="55" t="str">
        <f>IFERROR(__xludf.DUMMYFUNCTION("""COMPUTED_VALUE"""),"Anacardium occidentale")</f>
        <v>Anacardium occidentale</v>
      </c>
      <c r="E155" s="8" t="str">
        <f>IFERROR(__xludf.DUMMYFUNCTION("""COMPUTED_VALUE"""),"X3264 (Yellow)")</f>
        <v>X3264 (Yellow)</v>
      </c>
      <c r="F155" s="8" t="str">
        <f>IFERROR(__xludf.DUMMYFUNCTION("""COMPUTED_VALUE"""),"Cashew")</f>
        <v>Cashew</v>
      </c>
      <c r="G155" s="8" t="str">
        <f>IFERROR(__xludf.DUMMYFUNCTION("""COMPUTED_VALUE"""),"Anacardier")</f>
        <v>Anacardier</v>
      </c>
      <c r="H155" s="8" t="str">
        <f>IFERROR(__xludf.DUMMYFUNCTION("""COMPUTED_VALUE"""),"graft")</f>
        <v>graft</v>
      </c>
      <c r="I155" s="8" t="str">
        <f>IFERROR(__xludf.DUMMYFUNCTION("""COMPUTED_VALUE"""),"C155")</f>
        <v>C155</v>
      </c>
      <c r="J155" s="8" t="str">
        <f>IFERROR(__xludf.DUMMYFUNCTION("""COMPUTED_VALUE"""),"13N11")</f>
        <v>13N11</v>
      </c>
      <c r="K155" s="8"/>
      <c r="L155" s="8">
        <f>IFERROR(__xludf.DUMMYFUNCTION("""COMPUTED_VALUE"""),1.0)</f>
        <v>1</v>
      </c>
      <c r="M155" s="8">
        <f>IFERROR(__xludf.DUMMYFUNCTION("""COMPUTED_VALUE"""),0.0)</f>
        <v>0</v>
      </c>
      <c r="N155" s="8">
        <f>IFERROR(__xludf.DUMMYFUNCTION("""COMPUTED_VALUE"""),20.0)</f>
        <v>20</v>
      </c>
      <c r="O155" s="8"/>
      <c r="P155" s="8"/>
      <c r="Q155" s="8"/>
      <c r="R155" s="8"/>
      <c r="S155" s="8"/>
      <c r="T155" s="8"/>
      <c r="U155" s="8"/>
      <c r="V155" s="8"/>
      <c r="W155" s="8"/>
      <c r="X155" s="8"/>
      <c r="Y155" s="8"/>
      <c r="Z155" s="8"/>
    </row>
    <row r="156">
      <c r="A156" s="8">
        <f>IFERROR(__xludf.DUMMYFUNCTION("""COMPUTED_VALUE"""),156.0)</f>
        <v>156</v>
      </c>
      <c r="B156" s="8" t="str">
        <f>IFERROR(__xludf.DUMMYFUNCTION("""COMPUTED_VALUE"""),"cashew")</f>
        <v>cashew</v>
      </c>
      <c r="C156" s="8" t="str">
        <f>IFERROR(__xludf.DUMMYFUNCTION("""COMPUTED_VALUE"""),"graft")</f>
        <v>graft</v>
      </c>
      <c r="D156" s="55" t="str">
        <f>IFERROR(__xludf.DUMMYFUNCTION("""COMPUTED_VALUE"""),"Anacardium occidentale")</f>
        <v>Anacardium occidentale</v>
      </c>
      <c r="E156" s="8" t="str">
        <f>IFERROR(__xludf.DUMMYFUNCTION("""COMPUTED_VALUE"""),"X3264 (Yellow)")</f>
        <v>X3264 (Yellow)</v>
      </c>
      <c r="F156" s="8" t="str">
        <f>IFERROR(__xludf.DUMMYFUNCTION("""COMPUTED_VALUE"""),"Cashew")</f>
        <v>Cashew</v>
      </c>
      <c r="G156" s="8" t="str">
        <f>IFERROR(__xludf.DUMMYFUNCTION("""COMPUTED_VALUE"""),"Anacardier")</f>
        <v>Anacardier</v>
      </c>
      <c r="H156" s="8" t="str">
        <f>IFERROR(__xludf.DUMMYFUNCTION("""COMPUTED_VALUE"""),"graft")</f>
        <v>graft</v>
      </c>
      <c r="I156" s="8" t="str">
        <f>IFERROR(__xludf.DUMMYFUNCTION("""COMPUTED_VALUE"""),"C156")</f>
        <v>C156</v>
      </c>
      <c r="J156" s="8" t="str">
        <f>IFERROR(__xludf.DUMMYFUNCTION("""COMPUTED_VALUE"""),"13N12")</f>
        <v>13N12</v>
      </c>
      <c r="K156" s="8"/>
      <c r="L156" s="8">
        <f>IFERROR(__xludf.DUMMYFUNCTION("""COMPUTED_VALUE"""),1.0)</f>
        <v>1</v>
      </c>
      <c r="M156" s="8">
        <f>IFERROR(__xludf.DUMMYFUNCTION("""COMPUTED_VALUE"""),0.0)</f>
        <v>0</v>
      </c>
      <c r="N156" s="8">
        <f>IFERROR(__xludf.DUMMYFUNCTION("""COMPUTED_VALUE"""),20.0)</f>
        <v>20</v>
      </c>
      <c r="O156" s="8"/>
      <c r="P156" s="8"/>
      <c r="Q156" s="8"/>
      <c r="R156" s="8"/>
      <c r="S156" s="8"/>
      <c r="T156" s="8"/>
      <c r="U156" s="8"/>
      <c r="V156" s="8"/>
      <c r="W156" s="8"/>
      <c r="X156" s="8"/>
      <c r="Y156" s="8"/>
      <c r="Z156" s="8"/>
    </row>
    <row r="157">
      <c r="A157" s="8">
        <f>IFERROR(__xludf.DUMMYFUNCTION("""COMPUTED_VALUE"""),157.0)</f>
        <v>157</v>
      </c>
      <c r="B157" s="8" t="str">
        <f>IFERROR(__xludf.DUMMYFUNCTION("""COMPUTED_VALUE"""),"cashew")</f>
        <v>cashew</v>
      </c>
      <c r="C157" s="8" t="str">
        <f>IFERROR(__xludf.DUMMYFUNCTION("""COMPUTED_VALUE"""),"graft")</f>
        <v>graft</v>
      </c>
      <c r="D157" s="55" t="str">
        <f>IFERROR(__xludf.DUMMYFUNCTION("""COMPUTED_VALUE"""),"Anacardium occidentale")</f>
        <v>Anacardium occidentale</v>
      </c>
      <c r="E157" s="8" t="str">
        <f>IFERROR(__xludf.DUMMYFUNCTION("""COMPUTED_VALUE"""),"Z330 (Orange)")</f>
        <v>Z330 (Orange)</v>
      </c>
      <c r="F157" s="8" t="str">
        <f>IFERROR(__xludf.DUMMYFUNCTION("""COMPUTED_VALUE"""),"Cashew")</f>
        <v>Cashew</v>
      </c>
      <c r="G157" s="8" t="str">
        <f>IFERROR(__xludf.DUMMYFUNCTION("""COMPUTED_VALUE"""),"Anacardier")</f>
        <v>Anacardier</v>
      </c>
      <c r="H157" s="8" t="str">
        <f>IFERROR(__xludf.DUMMYFUNCTION("""COMPUTED_VALUE"""),"graft")</f>
        <v>graft</v>
      </c>
      <c r="I157" s="8" t="str">
        <f>IFERROR(__xludf.DUMMYFUNCTION("""COMPUTED_VALUE"""),"C157")</f>
        <v>C157</v>
      </c>
      <c r="J157" s="8" t="str">
        <f>IFERROR(__xludf.DUMMYFUNCTION("""COMPUTED_VALUE"""),"14N01")</f>
        <v>14N01</v>
      </c>
      <c r="K157" s="8"/>
      <c r="L157" s="8">
        <f>IFERROR(__xludf.DUMMYFUNCTION("""COMPUTED_VALUE"""),1.0)</f>
        <v>1</v>
      </c>
      <c r="M157" s="8">
        <f>IFERROR(__xludf.DUMMYFUNCTION("""COMPUTED_VALUE"""),0.0)</f>
        <v>0</v>
      </c>
      <c r="N157" s="8">
        <f>IFERROR(__xludf.DUMMYFUNCTION("""COMPUTED_VALUE"""),23.0)</f>
        <v>23</v>
      </c>
      <c r="O157" s="8"/>
      <c r="P157" s="8"/>
      <c r="Q157" s="8"/>
      <c r="R157" s="8"/>
      <c r="S157" s="8"/>
      <c r="T157" s="8"/>
      <c r="U157" s="8"/>
      <c r="V157" s="8"/>
      <c r="W157" s="8"/>
      <c r="X157" s="8"/>
      <c r="Y157" s="8"/>
      <c r="Z157" s="8"/>
    </row>
    <row r="158">
      <c r="A158" s="8">
        <f>IFERROR(__xludf.DUMMYFUNCTION("""COMPUTED_VALUE"""),158.0)</f>
        <v>158</v>
      </c>
      <c r="B158" s="8" t="str">
        <f>IFERROR(__xludf.DUMMYFUNCTION("""COMPUTED_VALUE"""),"cashew")</f>
        <v>cashew</v>
      </c>
      <c r="C158" s="8" t="str">
        <f>IFERROR(__xludf.DUMMYFUNCTION("""COMPUTED_VALUE"""),"graft")</f>
        <v>graft</v>
      </c>
      <c r="D158" s="55" t="str">
        <f>IFERROR(__xludf.DUMMYFUNCTION("""COMPUTED_VALUE"""),"Anacardium occidentale")</f>
        <v>Anacardium occidentale</v>
      </c>
      <c r="E158" s="8" t="str">
        <f>IFERROR(__xludf.DUMMYFUNCTION("""COMPUTED_VALUE"""),"Z330 (Orange)")</f>
        <v>Z330 (Orange)</v>
      </c>
      <c r="F158" s="8" t="str">
        <f>IFERROR(__xludf.DUMMYFUNCTION("""COMPUTED_VALUE"""),"Cashew")</f>
        <v>Cashew</v>
      </c>
      <c r="G158" s="8" t="str">
        <f>IFERROR(__xludf.DUMMYFUNCTION("""COMPUTED_VALUE"""),"Anacardier")</f>
        <v>Anacardier</v>
      </c>
      <c r="H158" s="8" t="str">
        <f>IFERROR(__xludf.DUMMYFUNCTION("""COMPUTED_VALUE"""),"graft")</f>
        <v>graft</v>
      </c>
      <c r="I158" s="8" t="str">
        <f>IFERROR(__xludf.DUMMYFUNCTION("""COMPUTED_VALUE"""),"C158")</f>
        <v>C158</v>
      </c>
      <c r="J158" s="8" t="str">
        <f>IFERROR(__xludf.DUMMYFUNCTION("""COMPUTED_VALUE"""),"14N02")</f>
        <v>14N02</v>
      </c>
      <c r="K158" s="8"/>
      <c r="L158" s="8">
        <f>IFERROR(__xludf.DUMMYFUNCTION("""COMPUTED_VALUE"""),1.0)</f>
        <v>1</v>
      </c>
      <c r="M158" s="8">
        <f>IFERROR(__xludf.DUMMYFUNCTION("""COMPUTED_VALUE"""),0.0)</f>
        <v>0</v>
      </c>
      <c r="N158" s="8">
        <f>IFERROR(__xludf.DUMMYFUNCTION("""COMPUTED_VALUE"""),23.0)</f>
        <v>23</v>
      </c>
      <c r="O158" s="8"/>
      <c r="P158" s="8"/>
      <c r="Q158" s="8"/>
      <c r="R158" s="8"/>
      <c r="S158" s="8"/>
      <c r="T158" s="8"/>
      <c r="U158" s="8"/>
      <c r="V158" s="8"/>
      <c r="W158" s="8"/>
      <c r="X158" s="8"/>
      <c r="Y158" s="8"/>
      <c r="Z158" s="8"/>
    </row>
    <row r="159">
      <c r="A159" s="8">
        <f>IFERROR(__xludf.DUMMYFUNCTION("""COMPUTED_VALUE"""),159.0)</f>
        <v>159</v>
      </c>
      <c r="B159" s="8" t="str">
        <f>IFERROR(__xludf.DUMMYFUNCTION("""COMPUTED_VALUE"""),"cashew")</f>
        <v>cashew</v>
      </c>
      <c r="C159" s="8" t="str">
        <f>IFERROR(__xludf.DUMMYFUNCTION("""COMPUTED_VALUE"""),"graft")</f>
        <v>graft</v>
      </c>
      <c r="D159" s="55" t="str">
        <f>IFERROR(__xludf.DUMMYFUNCTION("""COMPUTED_VALUE"""),"Anacardium occidentale")</f>
        <v>Anacardium occidentale</v>
      </c>
      <c r="E159" s="8" t="str">
        <f>IFERROR(__xludf.DUMMYFUNCTION("""COMPUTED_VALUE"""),"Z330 (Orange)")</f>
        <v>Z330 (Orange)</v>
      </c>
      <c r="F159" s="8" t="str">
        <f>IFERROR(__xludf.DUMMYFUNCTION("""COMPUTED_VALUE"""),"Cashew")</f>
        <v>Cashew</v>
      </c>
      <c r="G159" s="8" t="str">
        <f>IFERROR(__xludf.DUMMYFUNCTION("""COMPUTED_VALUE"""),"Anacardier")</f>
        <v>Anacardier</v>
      </c>
      <c r="H159" s="8" t="str">
        <f>IFERROR(__xludf.DUMMYFUNCTION("""COMPUTED_VALUE"""),"graft")</f>
        <v>graft</v>
      </c>
      <c r="I159" s="8" t="str">
        <f>IFERROR(__xludf.DUMMYFUNCTION("""COMPUTED_VALUE"""),"C159")</f>
        <v>C159</v>
      </c>
      <c r="J159" s="8" t="str">
        <f>IFERROR(__xludf.DUMMYFUNCTION("""COMPUTED_VALUE"""),"14N03")</f>
        <v>14N03</v>
      </c>
      <c r="K159" s="8"/>
      <c r="L159" s="8">
        <f>IFERROR(__xludf.DUMMYFUNCTION("""COMPUTED_VALUE"""),1.0)</f>
        <v>1</v>
      </c>
      <c r="M159" s="8">
        <f>IFERROR(__xludf.DUMMYFUNCTION("""COMPUTED_VALUE"""),0.0)</f>
        <v>0</v>
      </c>
      <c r="N159" s="8">
        <f>IFERROR(__xludf.DUMMYFUNCTION("""COMPUTED_VALUE"""),23.0)</f>
        <v>23</v>
      </c>
      <c r="O159" s="8"/>
      <c r="P159" s="8"/>
      <c r="Q159" s="8"/>
      <c r="R159" s="8"/>
      <c r="S159" s="8"/>
      <c r="T159" s="8"/>
      <c r="U159" s="8"/>
      <c r="V159" s="8"/>
      <c r="W159" s="8"/>
      <c r="X159" s="8"/>
      <c r="Y159" s="8"/>
      <c r="Z159" s="8"/>
    </row>
    <row r="160">
      <c r="A160" s="8">
        <f>IFERROR(__xludf.DUMMYFUNCTION("""COMPUTED_VALUE"""),160.0)</f>
        <v>160</v>
      </c>
      <c r="B160" s="8" t="str">
        <f>IFERROR(__xludf.DUMMYFUNCTION("""COMPUTED_VALUE"""),"cashew")</f>
        <v>cashew</v>
      </c>
      <c r="C160" s="8" t="str">
        <f>IFERROR(__xludf.DUMMYFUNCTION("""COMPUTED_VALUE"""),"graft")</f>
        <v>graft</v>
      </c>
      <c r="D160" s="55" t="str">
        <f>IFERROR(__xludf.DUMMYFUNCTION("""COMPUTED_VALUE"""),"Anacardium occidentale")</f>
        <v>Anacardium occidentale</v>
      </c>
      <c r="E160" s="8" t="str">
        <f>IFERROR(__xludf.DUMMYFUNCTION("""COMPUTED_VALUE"""),"Z330 (Orange)")</f>
        <v>Z330 (Orange)</v>
      </c>
      <c r="F160" s="8" t="str">
        <f>IFERROR(__xludf.DUMMYFUNCTION("""COMPUTED_VALUE"""),"Cashew")</f>
        <v>Cashew</v>
      </c>
      <c r="G160" s="8" t="str">
        <f>IFERROR(__xludf.DUMMYFUNCTION("""COMPUTED_VALUE"""),"Anacardier")</f>
        <v>Anacardier</v>
      </c>
      <c r="H160" s="8" t="str">
        <f>IFERROR(__xludf.DUMMYFUNCTION("""COMPUTED_VALUE"""),"graft")</f>
        <v>graft</v>
      </c>
      <c r="I160" s="8" t="str">
        <f>IFERROR(__xludf.DUMMYFUNCTION("""COMPUTED_VALUE"""),"C160")</f>
        <v>C160</v>
      </c>
      <c r="J160" s="8" t="str">
        <f>IFERROR(__xludf.DUMMYFUNCTION("""COMPUTED_VALUE"""),"14N04")</f>
        <v>14N04</v>
      </c>
      <c r="K160" s="8"/>
      <c r="L160" s="8">
        <f>IFERROR(__xludf.DUMMYFUNCTION("""COMPUTED_VALUE"""),1.0)</f>
        <v>1</v>
      </c>
      <c r="M160" s="8">
        <f>IFERROR(__xludf.DUMMYFUNCTION("""COMPUTED_VALUE"""),0.0)</f>
        <v>0</v>
      </c>
      <c r="N160" s="8">
        <f>IFERROR(__xludf.DUMMYFUNCTION("""COMPUTED_VALUE"""),23.0)</f>
        <v>23</v>
      </c>
      <c r="O160" s="8"/>
      <c r="P160" s="8"/>
      <c r="Q160" s="8"/>
      <c r="R160" s="8"/>
      <c r="S160" s="8"/>
      <c r="T160" s="8"/>
      <c r="U160" s="8"/>
      <c r="V160" s="8"/>
      <c r="W160" s="8"/>
      <c r="X160" s="8"/>
      <c r="Y160" s="8"/>
      <c r="Z160" s="8"/>
    </row>
    <row r="161">
      <c r="A161" s="8">
        <f>IFERROR(__xludf.DUMMYFUNCTION("""COMPUTED_VALUE"""),161.0)</f>
        <v>161</v>
      </c>
      <c r="B161" s="8" t="str">
        <f>IFERROR(__xludf.DUMMYFUNCTION("""COMPUTED_VALUE"""),"cashew")</f>
        <v>cashew</v>
      </c>
      <c r="C161" s="8" t="str">
        <f>IFERROR(__xludf.DUMMYFUNCTION("""COMPUTED_VALUE"""),"graft")</f>
        <v>graft</v>
      </c>
      <c r="D161" s="55" t="str">
        <f>IFERROR(__xludf.DUMMYFUNCTION("""COMPUTED_VALUE"""),"Anacardium occidentale")</f>
        <v>Anacardium occidentale</v>
      </c>
      <c r="E161" s="8" t="str">
        <f>IFERROR(__xludf.DUMMYFUNCTION("""COMPUTED_VALUE"""),"Z330 (Orange)")</f>
        <v>Z330 (Orange)</v>
      </c>
      <c r="F161" s="8" t="str">
        <f>IFERROR(__xludf.DUMMYFUNCTION("""COMPUTED_VALUE"""),"Cashew")</f>
        <v>Cashew</v>
      </c>
      <c r="G161" s="8" t="str">
        <f>IFERROR(__xludf.DUMMYFUNCTION("""COMPUTED_VALUE"""),"Anacardier")</f>
        <v>Anacardier</v>
      </c>
      <c r="H161" s="8" t="str">
        <f>IFERROR(__xludf.DUMMYFUNCTION("""COMPUTED_VALUE"""),"graft")</f>
        <v>graft</v>
      </c>
      <c r="I161" s="8" t="str">
        <f>IFERROR(__xludf.DUMMYFUNCTION("""COMPUTED_VALUE"""),"C161")</f>
        <v>C161</v>
      </c>
      <c r="J161" s="8" t="str">
        <f>IFERROR(__xludf.DUMMYFUNCTION("""COMPUTED_VALUE"""),"14N05")</f>
        <v>14N05</v>
      </c>
      <c r="K161" s="8"/>
      <c r="L161" s="8">
        <f>IFERROR(__xludf.DUMMYFUNCTION("""COMPUTED_VALUE"""),1.0)</f>
        <v>1</v>
      </c>
      <c r="M161" s="8">
        <f>IFERROR(__xludf.DUMMYFUNCTION("""COMPUTED_VALUE"""),0.0)</f>
        <v>0</v>
      </c>
      <c r="N161" s="8">
        <f>IFERROR(__xludf.DUMMYFUNCTION("""COMPUTED_VALUE"""),23.0)</f>
        <v>23</v>
      </c>
      <c r="O161" s="8"/>
      <c r="P161" s="8"/>
      <c r="Q161" s="8"/>
      <c r="R161" s="8"/>
      <c r="S161" s="8"/>
      <c r="T161" s="8"/>
      <c r="U161" s="8"/>
      <c r="V161" s="8"/>
      <c r="W161" s="8"/>
      <c r="X161" s="8"/>
      <c r="Y161" s="8"/>
      <c r="Z161" s="8"/>
    </row>
    <row r="162">
      <c r="A162" s="8">
        <f>IFERROR(__xludf.DUMMYFUNCTION("""COMPUTED_VALUE"""),162.0)</f>
        <v>162</v>
      </c>
      <c r="B162" s="8" t="str">
        <f>IFERROR(__xludf.DUMMYFUNCTION("""COMPUTED_VALUE"""),"cashew")</f>
        <v>cashew</v>
      </c>
      <c r="C162" s="8" t="str">
        <f>IFERROR(__xludf.DUMMYFUNCTION("""COMPUTED_VALUE"""),"graft")</f>
        <v>graft</v>
      </c>
      <c r="D162" s="55" t="str">
        <f>IFERROR(__xludf.DUMMYFUNCTION("""COMPUTED_VALUE"""),"Anacardium occidentale")</f>
        <v>Anacardium occidentale</v>
      </c>
      <c r="E162" s="8" t="str">
        <f>IFERROR(__xludf.DUMMYFUNCTION("""COMPUTED_VALUE"""),"Z330 (Orange)")</f>
        <v>Z330 (Orange)</v>
      </c>
      <c r="F162" s="8" t="str">
        <f>IFERROR(__xludf.DUMMYFUNCTION("""COMPUTED_VALUE"""),"Cashew")</f>
        <v>Cashew</v>
      </c>
      <c r="G162" s="8" t="str">
        <f>IFERROR(__xludf.DUMMYFUNCTION("""COMPUTED_VALUE"""),"Anacardier")</f>
        <v>Anacardier</v>
      </c>
      <c r="H162" s="8" t="str">
        <f>IFERROR(__xludf.DUMMYFUNCTION("""COMPUTED_VALUE"""),"graft")</f>
        <v>graft</v>
      </c>
      <c r="I162" s="8" t="str">
        <f>IFERROR(__xludf.DUMMYFUNCTION("""COMPUTED_VALUE"""),"C162")</f>
        <v>C162</v>
      </c>
      <c r="J162" s="8" t="str">
        <f>IFERROR(__xludf.DUMMYFUNCTION("""COMPUTED_VALUE"""),"14N06")</f>
        <v>14N06</v>
      </c>
      <c r="K162" s="8"/>
      <c r="L162" s="8">
        <f>IFERROR(__xludf.DUMMYFUNCTION("""COMPUTED_VALUE"""),1.0)</f>
        <v>1</v>
      </c>
      <c r="M162" s="8">
        <f>IFERROR(__xludf.DUMMYFUNCTION("""COMPUTED_VALUE"""),0.0)</f>
        <v>0</v>
      </c>
      <c r="N162" s="8">
        <f>IFERROR(__xludf.DUMMYFUNCTION("""COMPUTED_VALUE"""),23.0)</f>
        <v>23</v>
      </c>
      <c r="O162" s="8"/>
      <c r="P162" s="8"/>
      <c r="Q162" s="8"/>
      <c r="R162" s="8"/>
      <c r="S162" s="8"/>
      <c r="T162" s="8"/>
      <c r="U162" s="8"/>
      <c r="V162" s="8"/>
      <c r="W162" s="8"/>
      <c r="X162" s="8"/>
      <c r="Y162" s="8"/>
      <c r="Z162" s="8"/>
    </row>
    <row r="163">
      <c r="A163" s="8">
        <f>IFERROR(__xludf.DUMMYFUNCTION("""COMPUTED_VALUE"""),163.0)</f>
        <v>163</v>
      </c>
      <c r="B163" s="8" t="str">
        <f>IFERROR(__xludf.DUMMYFUNCTION("""COMPUTED_VALUE"""),"cashew")</f>
        <v>cashew</v>
      </c>
      <c r="C163" s="8" t="str">
        <f>IFERROR(__xludf.DUMMYFUNCTION("""COMPUTED_VALUE"""),"graft")</f>
        <v>graft</v>
      </c>
      <c r="D163" s="55" t="str">
        <f>IFERROR(__xludf.DUMMYFUNCTION("""COMPUTED_VALUE"""),"Anacardium occidentale")</f>
        <v>Anacardium occidentale</v>
      </c>
      <c r="E163" s="8" t="str">
        <f>IFERROR(__xludf.DUMMYFUNCTION("""COMPUTED_VALUE"""),"Z330 (Orange)")</f>
        <v>Z330 (Orange)</v>
      </c>
      <c r="F163" s="8" t="str">
        <f>IFERROR(__xludf.DUMMYFUNCTION("""COMPUTED_VALUE"""),"Cashew")</f>
        <v>Cashew</v>
      </c>
      <c r="G163" s="8" t="str">
        <f>IFERROR(__xludf.DUMMYFUNCTION("""COMPUTED_VALUE"""),"Anacardier")</f>
        <v>Anacardier</v>
      </c>
      <c r="H163" s="8" t="str">
        <f>IFERROR(__xludf.DUMMYFUNCTION("""COMPUTED_VALUE"""),"graft")</f>
        <v>graft</v>
      </c>
      <c r="I163" s="8" t="str">
        <f>IFERROR(__xludf.DUMMYFUNCTION("""COMPUTED_VALUE"""),"C163")</f>
        <v>C163</v>
      </c>
      <c r="J163" s="8" t="str">
        <f>IFERROR(__xludf.DUMMYFUNCTION("""COMPUTED_VALUE"""),"14N07")</f>
        <v>14N07</v>
      </c>
      <c r="K163" s="8"/>
      <c r="L163" s="8">
        <f>IFERROR(__xludf.DUMMYFUNCTION("""COMPUTED_VALUE"""),1.0)</f>
        <v>1</v>
      </c>
      <c r="M163" s="8">
        <f>IFERROR(__xludf.DUMMYFUNCTION("""COMPUTED_VALUE"""),0.0)</f>
        <v>0</v>
      </c>
      <c r="N163" s="8">
        <f>IFERROR(__xludf.DUMMYFUNCTION("""COMPUTED_VALUE"""),23.0)</f>
        <v>23</v>
      </c>
      <c r="O163" s="8"/>
      <c r="P163" s="8"/>
      <c r="Q163" s="8"/>
      <c r="R163" s="8"/>
      <c r="S163" s="8"/>
      <c r="T163" s="8"/>
      <c r="U163" s="8"/>
      <c r="V163" s="8"/>
      <c r="W163" s="8"/>
      <c r="X163" s="8"/>
      <c r="Y163" s="8"/>
      <c r="Z163" s="8"/>
    </row>
    <row r="164">
      <c r="A164" s="8">
        <f>IFERROR(__xludf.DUMMYFUNCTION("""COMPUTED_VALUE"""),164.0)</f>
        <v>164</v>
      </c>
      <c r="B164" s="8" t="str">
        <f>IFERROR(__xludf.DUMMYFUNCTION("""COMPUTED_VALUE"""),"cashew")</f>
        <v>cashew</v>
      </c>
      <c r="C164" s="8" t="str">
        <f>IFERROR(__xludf.DUMMYFUNCTION("""COMPUTED_VALUE"""),"graft")</f>
        <v>graft</v>
      </c>
      <c r="D164" s="55" t="str">
        <f>IFERROR(__xludf.DUMMYFUNCTION("""COMPUTED_VALUE"""),"Anacardium occidentale")</f>
        <v>Anacardium occidentale</v>
      </c>
      <c r="E164" s="8" t="str">
        <f>IFERROR(__xludf.DUMMYFUNCTION("""COMPUTED_VALUE"""),"Z330 (Orange)")</f>
        <v>Z330 (Orange)</v>
      </c>
      <c r="F164" s="8" t="str">
        <f>IFERROR(__xludf.DUMMYFUNCTION("""COMPUTED_VALUE"""),"Cashew")</f>
        <v>Cashew</v>
      </c>
      <c r="G164" s="8" t="str">
        <f>IFERROR(__xludf.DUMMYFUNCTION("""COMPUTED_VALUE"""),"Anacardier")</f>
        <v>Anacardier</v>
      </c>
      <c r="H164" s="8" t="str">
        <f>IFERROR(__xludf.DUMMYFUNCTION("""COMPUTED_VALUE"""),"graft")</f>
        <v>graft</v>
      </c>
      <c r="I164" s="8" t="str">
        <f>IFERROR(__xludf.DUMMYFUNCTION("""COMPUTED_VALUE"""),"C164")</f>
        <v>C164</v>
      </c>
      <c r="J164" s="8" t="str">
        <f>IFERROR(__xludf.DUMMYFUNCTION("""COMPUTED_VALUE"""),"14N08")</f>
        <v>14N08</v>
      </c>
      <c r="K164" s="8"/>
      <c r="L164" s="8">
        <f>IFERROR(__xludf.DUMMYFUNCTION("""COMPUTED_VALUE"""),1.0)</f>
        <v>1</v>
      </c>
      <c r="M164" s="8">
        <f>IFERROR(__xludf.DUMMYFUNCTION("""COMPUTED_VALUE"""),0.0)</f>
        <v>0</v>
      </c>
      <c r="N164" s="8">
        <f>IFERROR(__xludf.DUMMYFUNCTION("""COMPUTED_VALUE"""),23.0)</f>
        <v>23</v>
      </c>
      <c r="O164" s="8"/>
      <c r="P164" s="8"/>
      <c r="Q164" s="8"/>
      <c r="R164" s="8"/>
      <c r="S164" s="8"/>
      <c r="T164" s="8"/>
      <c r="U164" s="8"/>
      <c r="V164" s="8"/>
      <c r="W164" s="8"/>
      <c r="X164" s="8"/>
      <c r="Y164" s="8"/>
      <c r="Z164" s="8"/>
    </row>
    <row r="165">
      <c r="A165" s="8">
        <f>IFERROR(__xludf.DUMMYFUNCTION("""COMPUTED_VALUE"""),165.0)</f>
        <v>165</v>
      </c>
      <c r="B165" s="8" t="str">
        <f>IFERROR(__xludf.DUMMYFUNCTION("""COMPUTED_VALUE"""),"cashew")</f>
        <v>cashew</v>
      </c>
      <c r="C165" s="8" t="str">
        <f>IFERROR(__xludf.DUMMYFUNCTION("""COMPUTED_VALUE"""),"graft")</f>
        <v>graft</v>
      </c>
      <c r="D165" s="55" t="str">
        <f>IFERROR(__xludf.DUMMYFUNCTION("""COMPUTED_VALUE"""),"Anacardium occidentale")</f>
        <v>Anacardium occidentale</v>
      </c>
      <c r="E165" s="8" t="str">
        <f>IFERROR(__xludf.DUMMYFUNCTION("""COMPUTED_VALUE"""),"Z330 (Orange)")</f>
        <v>Z330 (Orange)</v>
      </c>
      <c r="F165" s="8" t="str">
        <f>IFERROR(__xludf.DUMMYFUNCTION("""COMPUTED_VALUE"""),"Cashew")</f>
        <v>Cashew</v>
      </c>
      <c r="G165" s="8" t="str">
        <f>IFERROR(__xludf.DUMMYFUNCTION("""COMPUTED_VALUE"""),"Anacardier")</f>
        <v>Anacardier</v>
      </c>
      <c r="H165" s="8" t="str">
        <f>IFERROR(__xludf.DUMMYFUNCTION("""COMPUTED_VALUE"""),"graft")</f>
        <v>graft</v>
      </c>
      <c r="I165" s="8" t="str">
        <f>IFERROR(__xludf.DUMMYFUNCTION("""COMPUTED_VALUE"""),"C165")</f>
        <v>C165</v>
      </c>
      <c r="J165" s="8" t="str">
        <f>IFERROR(__xludf.DUMMYFUNCTION("""COMPUTED_VALUE"""),"14N09")</f>
        <v>14N09</v>
      </c>
      <c r="K165" s="8"/>
      <c r="L165" s="8">
        <f>IFERROR(__xludf.DUMMYFUNCTION("""COMPUTED_VALUE"""),1.0)</f>
        <v>1</v>
      </c>
      <c r="M165" s="8">
        <f>IFERROR(__xludf.DUMMYFUNCTION("""COMPUTED_VALUE"""),0.0)</f>
        <v>0</v>
      </c>
      <c r="N165" s="8">
        <f>IFERROR(__xludf.DUMMYFUNCTION("""COMPUTED_VALUE"""),23.0)</f>
        <v>23</v>
      </c>
      <c r="O165" s="8"/>
      <c r="P165" s="8"/>
      <c r="Q165" s="8"/>
      <c r="R165" s="8"/>
      <c r="S165" s="8"/>
      <c r="T165" s="8"/>
      <c r="U165" s="8"/>
      <c r="V165" s="8"/>
      <c r="W165" s="8"/>
      <c r="X165" s="8"/>
      <c r="Y165" s="8"/>
      <c r="Z165" s="8"/>
    </row>
    <row r="166">
      <c r="A166" s="8">
        <f>IFERROR(__xludf.DUMMYFUNCTION("""COMPUTED_VALUE"""),166.0)</f>
        <v>166</v>
      </c>
      <c r="B166" s="8" t="str">
        <f>IFERROR(__xludf.DUMMYFUNCTION("""COMPUTED_VALUE"""),"cashew")</f>
        <v>cashew</v>
      </c>
      <c r="C166" s="8" t="str">
        <f>IFERROR(__xludf.DUMMYFUNCTION("""COMPUTED_VALUE"""),"graft")</f>
        <v>graft</v>
      </c>
      <c r="D166" s="55" t="str">
        <f>IFERROR(__xludf.DUMMYFUNCTION("""COMPUTED_VALUE"""),"Anacardium occidentale")</f>
        <v>Anacardium occidentale</v>
      </c>
      <c r="E166" s="8" t="str">
        <f>IFERROR(__xludf.DUMMYFUNCTION("""COMPUTED_VALUE"""),"Z330 (Orange)")</f>
        <v>Z330 (Orange)</v>
      </c>
      <c r="F166" s="8" t="str">
        <f>IFERROR(__xludf.DUMMYFUNCTION("""COMPUTED_VALUE"""),"Cashew")</f>
        <v>Cashew</v>
      </c>
      <c r="G166" s="8" t="str">
        <f>IFERROR(__xludf.DUMMYFUNCTION("""COMPUTED_VALUE"""),"Anacardier")</f>
        <v>Anacardier</v>
      </c>
      <c r="H166" s="8" t="str">
        <f>IFERROR(__xludf.DUMMYFUNCTION("""COMPUTED_VALUE"""),"graft")</f>
        <v>graft</v>
      </c>
      <c r="I166" s="8" t="str">
        <f>IFERROR(__xludf.DUMMYFUNCTION("""COMPUTED_VALUE"""),"C166")</f>
        <v>C166</v>
      </c>
      <c r="J166" s="8" t="str">
        <f>IFERROR(__xludf.DUMMYFUNCTION("""COMPUTED_VALUE"""),"14N10")</f>
        <v>14N10</v>
      </c>
      <c r="K166" s="8"/>
      <c r="L166" s="8">
        <f>IFERROR(__xludf.DUMMYFUNCTION("""COMPUTED_VALUE"""),1.0)</f>
        <v>1</v>
      </c>
      <c r="M166" s="8">
        <f>IFERROR(__xludf.DUMMYFUNCTION("""COMPUTED_VALUE"""),0.0)</f>
        <v>0</v>
      </c>
      <c r="N166" s="8">
        <f>IFERROR(__xludf.DUMMYFUNCTION("""COMPUTED_VALUE"""),23.0)</f>
        <v>23</v>
      </c>
      <c r="O166" s="8"/>
      <c r="P166" s="8"/>
      <c r="Q166" s="8"/>
      <c r="R166" s="8"/>
      <c r="S166" s="8"/>
      <c r="T166" s="8"/>
      <c r="U166" s="8"/>
      <c r="V166" s="8"/>
      <c r="W166" s="8"/>
      <c r="X166" s="8"/>
      <c r="Y166" s="8"/>
      <c r="Z166" s="8"/>
    </row>
    <row r="167">
      <c r="A167" s="8">
        <f>IFERROR(__xludf.DUMMYFUNCTION("""COMPUTED_VALUE"""),167.0)</f>
        <v>167</v>
      </c>
      <c r="B167" s="8" t="str">
        <f>IFERROR(__xludf.DUMMYFUNCTION("""COMPUTED_VALUE"""),"cashew")</f>
        <v>cashew</v>
      </c>
      <c r="C167" s="8" t="str">
        <f>IFERROR(__xludf.DUMMYFUNCTION("""COMPUTED_VALUE"""),"graft")</f>
        <v>graft</v>
      </c>
      <c r="D167" s="55" t="str">
        <f>IFERROR(__xludf.DUMMYFUNCTION("""COMPUTED_VALUE"""),"Anacardium occidentale")</f>
        <v>Anacardium occidentale</v>
      </c>
      <c r="E167" s="8" t="str">
        <f>IFERROR(__xludf.DUMMYFUNCTION("""COMPUTED_VALUE"""),"Z330 (Orange)")</f>
        <v>Z330 (Orange)</v>
      </c>
      <c r="F167" s="8" t="str">
        <f>IFERROR(__xludf.DUMMYFUNCTION("""COMPUTED_VALUE"""),"Cashew")</f>
        <v>Cashew</v>
      </c>
      <c r="G167" s="8" t="str">
        <f>IFERROR(__xludf.DUMMYFUNCTION("""COMPUTED_VALUE"""),"Anacardier")</f>
        <v>Anacardier</v>
      </c>
      <c r="H167" s="8" t="str">
        <f>IFERROR(__xludf.DUMMYFUNCTION("""COMPUTED_VALUE"""),"graft")</f>
        <v>graft</v>
      </c>
      <c r="I167" s="8" t="str">
        <f>IFERROR(__xludf.DUMMYFUNCTION("""COMPUTED_VALUE"""),"C167")</f>
        <v>C167</v>
      </c>
      <c r="J167" s="8" t="str">
        <f>IFERROR(__xludf.DUMMYFUNCTION("""COMPUTED_VALUE"""),"14N11")</f>
        <v>14N11</v>
      </c>
      <c r="K167" s="8"/>
      <c r="L167" s="8">
        <f>IFERROR(__xludf.DUMMYFUNCTION("""COMPUTED_VALUE"""),1.0)</f>
        <v>1</v>
      </c>
      <c r="M167" s="8">
        <f>IFERROR(__xludf.DUMMYFUNCTION("""COMPUTED_VALUE"""),0.0)</f>
        <v>0</v>
      </c>
      <c r="N167" s="8">
        <f>IFERROR(__xludf.DUMMYFUNCTION("""COMPUTED_VALUE"""),23.0)</f>
        <v>23</v>
      </c>
      <c r="O167" s="8"/>
      <c r="P167" s="8"/>
      <c r="Q167" s="8"/>
      <c r="R167" s="8"/>
      <c r="S167" s="8"/>
      <c r="T167" s="8"/>
      <c r="U167" s="8"/>
      <c r="V167" s="8"/>
      <c r="W167" s="8"/>
      <c r="X167" s="8"/>
      <c r="Y167" s="8"/>
      <c r="Z167" s="8"/>
    </row>
    <row r="168">
      <c r="A168" s="8">
        <f>IFERROR(__xludf.DUMMYFUNCTION("""COMPUTED_VALUE"""),169.0)</f>
        <v>169</v>
      </c>
      <c r="B168" s="8" t="str">
        <f>IFERROR(__xludf.DUMMYFUNCTION("""COMPUTED_VALUE"""),"cashew")</f>
        <v>cashew</v>
      </c>
      <c r="C168" s="8" t="str">
        <f>IFERROR(__xludf.DUMMYFUNCTION("""COMPUTED_VALUE"""),"graft")</f>
        <v>graft</v>
      </c>
      <c r="D168" s="55" t="str">
        <f>IFERROR(__xludf.DUMMYFUNCTION("""COMPUTED_VALUE"""),"Anacardium occidentale")</f>
        <v>Anacardium occidentale</v>
      </c>
      <c r="E168" s="8" t="str">
        <f>IFERROR(__xludf.DUMMYFUNCTION("""COMPUTED_VALUE"""),"Z330 (Orange)")</f>
        <v>Z330 (Orange)</v>
      </c>
      <c r="F168" s="8" t="str">
        <f>IFERROR(__xludf.DUMMYFUNCTION("""COMPUTED_VALUE"""),"Cashew")</f>
        <v>Cashew</v>
      </c>
      <c r="G168" s="8" t="str">
        <f>IFERROR(__xludf.DUMMYFUNCTION("""COMPUTED_VALUE"""),"Anacardier")</f>
        <v>Anacardier</v>
      </c>
      <c r="H168" s="8" t="str">
        <f>IFERROR(__xludf.DUMMYFUNCTION("""COMPUTED_VALUE"""),"graft")</f>
        <v>graft</v>
      </c>
      <c r="I168" s="8" t="str">
        <f>IFERROR(__xludf.DUMMYFUNCTION("""COMPUTED_VALUE"""),"C168")</f>
        <v>C168</v>
      </c>
      <c r="J168" s="8" t="str">
        <f>IFERROR(__xludf.DUMMYFUNCTION("""COMPUTED_VALUE"""),"14N12")</f>
        <v>14N12</v>
      </c>
      <c r="K168" s="8"/>
      <c r="L168" s="8">
        <f>IFERROR(__xludf.DUMMYFUNCTION("""COMPUTED_VALUE"""),1.0)</f>
        <v>1</v>
      </c>
      <c r="M168" s="8">
        <f>IFERROR(__xludf.DUMMYFUNCTION("""COMPUTED_VALUE"""),0.0)</f>
        <v>0</v>
      </c>
      <c r="N168" s="8">
        <f>IFERROR(__xludf.DUMMYFUNCTION("""COMPUTED_VALUE"""),23.0)</f>
        <v>23</v>
      </c>
      <c r="O168" s="8"/>
      <c r="P168" s="8"/>
      <c r="Q168" s="8"/>
      <c r="R168" s="8"/>
      <c r="S168" s="8"/>
      <c r="T168" s="8"/>
      <c r="U168" s="8"/>
      <c r="V168" s="8"/>
      <c r="W168" s="8"/>
      <c r="X168" s="8"/>
      <c r="Y168" s="8"/>
      <c r="Z168" s="8"/>
    </row>
    <row r="169">
      <c r="A169" s="8">
        <f>IFERROR(__xludf.DUMMYFUNCTION("""COMPUTED_VALUE"""),170.0)</f>
        <v>170</v>
      </c>
      <c r="B169" s="8" t="str">
        <f>IFERROR(__xludf.DUMMYFUNCTION("""COMPUTED_VALUE"""),"cashew")</f>
        <v>cashew</v>
      </c>
      <c r="C169" s="8" t="str">
        <f>IFERROR(__xludf.DUMMYFUNCTION("""COMPUTED_VALUE"""),"graft")</f>
        <v>graft</v>
      </c>
      <c r="D169" s="55" t="str">
        <f>IFERROR(__xludf.DUMMYFUNCTION("""COMPUTED_VALUE"""),"Anacardium occidentale")</f>
        <v>Anacardium occidentale</v>
      </c>
      <c r="E169" s="8" t="str">
        <f>IFERROR(__xludf.DUMMYFUNCTION("""COMPUTED_VALUE"""),"X3264 (Yellow)")</f>
        <v>X3264 (Yellow)</v>
      </c>
      <c r="F169" s="8" t="str">
        <f>IFERROR(__xludf.DUMMYFUNCTION("""COMPUTED_VALUE"""),"Cashew")</f>
        <v>Cashew</v>
      </c>
      <c r="G169" s="8" t="str">
        <f>IFERROR(__xludf.DUMMYFUNCTION("""COMPUTED_VALUE"""),"Anacardier")</f>
        <v>Anacardier</v>
      </c>
      <c r="H169" s="8" t="str">
        <f>IFERROR(__xludf.DUMMYFUNCTION("""COMPUTED_VALUE"""),"graft")</f>
        <v>graft</v>
      </c>
      <c r="I169" s="8" t="str">
        <f>IFERROR(__xludf.DUMMYFUNCTION("""COMPUTED_VALUE"""),"C170")</f>
        <v>C170</v>
      </c>
      <c r="J169" s="8" t="str">
        <f>IFERROR(__xludf.DUMMYFUNCTION("""COMPUTED_VALUE"""),"15N01")</f>
        <v>15N01</v>
      </c>
      <c r="K169" s="8"/>
      <c r="L169" s="8">
        <f>IFERROR(__xludf.DUMMYFUNCTION("""COMPUTED_VALUE"""),1.0)</f>
        <v>1</v>
      </c>
      <c r="M169" s="8">
        <f>IFERROR(__xludf.DUMMYFUNCTION("""COMPUTED_VALUE"""),0.0)</f>
        <v>0</v>
      </c>
      <c r="N169" s="8">
        <f>IFERROR(__xludf.DUMMYFUNCTION("""COMPUTED_VALUE"""),20.0)</f>
        <v>20</v>
      </c>
      <c r="O169" s="8"/>
      <c r="P169" s="8"/>
      <c r="Q169" s="8"/>
      <c r="R169" s="8"/>
      <c r="S169" s="8"/>
      <c r="T169" s="8"/>
      <c r="U169" s="8"/>
      <c r="V169" s="8"/>
      <c r="W169" s="8"/>
      <c r="X169" s="8"/>
      <c r="Y169" s="8"/>
      <c r="Z169" s="8"/>
    </row>
    <row r="170">
      <c r="A170" s="8">
        <f>IFERROR(__xludf.DUMMYFUNCTION("""COMPUTED_VALUE"""),171.0)</f>
        <v>171</v>
      </c>
      <c r="B170" s="8" t="str">
        <f>IFERROR(__xludf.DUMMYFUNCTION("""COMPUTED_VALUE"""),"cashew")</f>
        <v>cashew</v>
      </c>
      <c r="C170" s="8" t="str">
        <f>IFERROR(__xludf.DUMMYFUNCTION("""COMPUTED_VALUE"""),"graft")</f>
        <v>graft</v>
      </c>
      <c r="D170" s="55" t="str">
        <f>IFERROR(__xludf.DUMMYFUNCTION("""COMPUTED_VALUE"""),"Anacardium occidentale")</f>
        <v>Anacardium occidentale</v>
      </c>
      <c r="E170" s="8" t="str">
        <f>IFERROR(__xludf.DUMMYFUNCTION("""COMPUTED_VALUE"""),"X3264 (Yellow)")</f>
        <v>X3264 (Yellow)</v>
      </c>
      <c r="F170" s="8" t="str">
        <f>IFERROR(__xludf.DUMMYFUNCTION("""COMPUTED_VALUE"""),"Cashew")</f>
        <v>Cashew</v>
      </c>
      <c r="G170" s="8" t="str">
        <f>IFERROR(__xludf.DUMMYFUNCTION("""COMPUTED_VALUE"""),"Anacardier")</f>
        <v>Anacardier</v>
      </c>
      <c r="H170" s="8" t="str">
        <f>IFERROR(__xludf.DUMMYFUNCTION("""COMPUTED_VALUE"""),"graft")</f>
        <v>graft</v>
      </c>
      <c r="I170" s="8" t="str">
        <f>IFERROR(__xludf.DUMMYFUNCTION("""COMPUTED_VALUE"""),"C171")</f>
        <v>C171</v>
      </c>
      <c r="J170" s="8" t="str">
        <f>IFERROR(__xludf.DUMMYFUNCTION("""COMPUTED_VALUE"""),"15N02")</f>
        <v>15N02</v>
      </c>
      <c r="K170" s="8"/>
      <c r="L170" s="8">
        <f>IFERROR(__xludf.DUMMYFUNCTION("""COMPUTED_VALUE"""),1.0)</f>
        <v>1</v>
      </c>
      <c r="M170" s="8">
        <f>IFERROR(__xludf.DUMMYFUNCTION("""COMPUTED_VALUE"""),0.0)</f>
        <v>0</v>
      </c>
      <c r="N170" s="8">
        <f>IFERROR(__xludf.DUMMYFUNCTION("""COMPUTED_VALUE"""),20.0)</f>
        <v>20</v>
      </c>
      <c r="O170" s="8"/>
      <c r="P170" s="8"/>
      <c r="Q170" s="8"/>
      <c r="R170" s="8"/>
      <c r="S170" s="8"/>
      <c r="T170" s="8"/>
      <c r="U170" s="8"/>
      <c r="V170" s="8"/>
      <c r="W170" s="8"/>
      <c r="X170" s="8"/>
      <c r="Y170" s="8"/>
      <c r="Z170" s="8"/>
    </row>
    <row r="171">
      <c r="A171" s="8">
        <f>IFERROR(__xludf.DUMMYFUNCTION("""COMPUTED_VALUE"""),172.0)</f>
        <v>172</v>
      </c>
      <c r="B171" s="8" t="str">
        <f>IFERROR(__xludf.DUMMYFUNCTION("""COMPUTED_VALUE"""),"cashew")</f>
        <v>cashew</v>
      </c>
      <c r="C171" s="8" t="str">
        <f>IFERROR(__xludf.DUMMYFUNCTION("""COMPUTED_VALUE"""),"graft")</f>
        <v>graft</v>
      </c>
      <c r="D171" s="55" t="str">
        <f>IFERROR(__xludf.DUMMYFUNCTION("""COMPUTED_VALUE"""),"Anacardium occidentale")</f>
        <v>Anacardium occidentale</v>
      </c>
      <c r="E171" s="8" t="str">
        <f>IFERROR(__xludf.DUMMYFUNCTION("""COMPUTED_VALUE"""),"X3264 (Yellow)")</f>
        <v>X3264 (Yellow)</v>
      </c>
      <c r="F171" s="8" t="str">
        <f>IFERROR(__xludf.DUMMYFUNCTION("""COMPUTED_VALUE"""),"Cashew")</f>
        <v>Cashew</v>
      </c>
      <c r="G171" s="8" t="str">
        <f>IFERROR(__xludf.DUMMYFUNCTION("""COMPUTED_VALUE"""),"Anacardier")</f>
        <v>Anacardier</v>
      </c>
      <c r="H171" s="8" t="str">
        <f>IFERROR(__xludf.DUMMYFUNCTION("""COMPUTED_VALUE"""),"graft")</f>
        <v>graft</v>
      </c>
      <c r="I171" s="8" t="str">
        <f>IFERROR(__xludf.DUMMYFUNCTION("""COMPUTED_VALUE"""),"C172")</f>
        <v>C172</v>
      </c>
      <c r="J171" s="8" t="str">
        <f>IFERROR(__xludf.DUMMYFUNCTION("""COMPUTED_VALUE"""),"15N03")</f>
        <v>15N03</v>
      </c>
      <c r="K171" s="8"/>
      <c r="L171" s="8">
        <f>IFERROR(__xludf.DUMMYFUNCTION("""COMPUTED_VALUE"""),1.0)</f>
        <v>1</v>
      </c>
      <c r="M171" s="8">
        <f>IFERROR(__xludf.DUMMYFUNCTION("""COMPUTED_VALUE"""),0.0)</f>
        <v>0</v>
      </c>
      <c r="N171" s="8">
        <f>IFERROR(__xludf.DUMMYFUNCTION("""COMPUTED_VALUE"""),20.0)</f>
        <v>20</v>
      </c>
      <c r="O171" s="8"/>
      <c r="P171" s="8"/>
      <c r="Q171" s="8"/>
      <c r="R171" s="8"/>
      <c r="S171" s="8"/>
      <c r="T171" s="8"/>
      <c r="U171" s="8"/>
      <c r="V171" s="8"/>
      <c r="W171" s="8"/>
      <c r="X171" s="8"/>
      <c r="Y171" s="8"/>
      <c r="Z171" s="8"/>
    </row>
    <row r="172">
      <c r="A172" s="8">
        <f>IFERROR(__xludf.DUMMYFUNCTION("""COMPUTED_VALUE"""),173.0)</f>
        <v>173</v>
      </c>
      <c r="B172" s="8" t="str">
        <f>IFERROR(__xludf.DUMMYFUNCTION("""COMPUTED_VALUE"""),"cashew")</f>
        <v>cashew</v>
      </c>
      <c r="C172" s="8" t="str">
        <f>IFERROR(__xludf.DUMMYFUNCTION("""COMPUTED_VALUE"""),"graft")</f>
        <v>graft</v>
      </c>
      <c r="D172" s="55" t="str">
        <f>IFERROR(__xludf.DUMMYFUNCTION("""COMPUTED_VALUE"""),"Anacardium occidentale")</f>
        <v>Anacardium occidentale</v>
      </c>
      <c r="E172" s="8" t="str">
        <f>IFERROR(__xludf.DUMMYFUNCTION("""COMPUTED_VALUE"""),"X3264 (Yellow)")</f>
        <v>X3264 (Yellow)</v>
      </c>
      <c r="F172" s="8" t="str">
        <f>IFERROR(__xludf.DUMMYFUNCTION("""COMPUTED_VALUE"""),"Cashew")</f>
        <v>Cashew</v>
      </c>
      <c r="G172" s="8" t="str">
        <f>IFERROR(__xludf.DUMMYFUNCTION("""COMPUTED_VALUE"""),"Anacardier")</f>
        <v>Anacardier</v>
      </c>
      <c r="H172" s="8" t="str">
        <f>IFERROR(__xludf.DUMMYFUNCTION("""COMPUTED_VALUE"""),"graft")</f>
        <v>graft</v>
      </c>
      <c r="I172" s="8" t="str">
        <f>IFERROR(__xludf.DUMMYFUNCTION("""COMPUTED_VALUE"""),"C173")</f>
        <v>C173</v>
      </c>
      <c r="J172" s="8" t="str">
        <f>IFERROR(__xludf.DUMMYFUNCTION("""COMPUTED_VALUE"""),"15N04")</f>
        <v>15N04</v>
      </c>
      <c r="K172" s="8"/>
      <c r="L172" s="8">
        <f>IFERROR(__xludf.DUMMYFUNCTION("""COMPUTED_VALUE"""),1.0)</f>
        <v>1</v>
      </c>
      <c r="M172" s="8">
        <f>IFERROR(__xludf.DUMMYFUNCTION("""COMPUTED_VALUE"""),0.0)</f>
        <v>0</v>
      </c>
      <c r="N172" s="8">
        <f>IFERROR(__xludf.DUMMYFUNCTION("""COMPUTED_VALUE"""),20.0)</f>
        <v>20</v>
      </c>
      <c r="O172" s="8"/>
      <c r="P172" s="8"/>
      <c r="Q172" s="8"/>
      <c r="R172" s="8"/>
      <c r="S172" s="8"/>
      <c r="T172" s="8"/>
      <c r="U172" s="8"/>
      <c r="V172" s="8"/>
      <c r="W172" s="8"/>
      <c r="X172" s="8"/>
      <c r="Y172" s="8"/>
      <c r="Z172" s="8"/>
    </row>
    <row r="173">
      <c r="A173" s="8">
        <f>IFERROR(__xludf.DUMMYFUNCTION("""COMPUTED_VALUE"""),174.0)</f>
        <v>174</v>
      </c>
      <c r="B173" s="8" t="str">
        <f>IFERROR(__xludf.DUMMYFUNCTION("""COMPUTED_VALUE"""),"cashew")</f>
        <v>cashew</v>
      </c>
      <c r="C173" s="8" t="str">
        <f>IFERROR(__xludf.DUMMYFUNCTION("""COMPUTED_VALUE"""),"graft")</f>
        <v>graft</v>
      </c>
      <c r="D173" s="55" t="str">
        <f>IFERROR(__xludf.DUMMYFUNCTION("""COMPUTED_VALUE"""),"Anacardium occidentale")</f>
        <v>Anacardium occidentale</v>
      </c>
      <c r="E173" s="8" t="str">
        <f>IFERROR(__xludf.DUMMYFUNCTION("""COMPUTED_VALUE"""),"X3264 (Yellow)")</f>
        <v>X3264 (Yellow)</v>
      </c>
      <c r="F173" s="8" t="str">
        <f>IFERROR(__xludf.DUMMYFUNCTION("""COMPUTED_VALUE"""),"Cashew")</f>
        <v>Cashew</v>
      </c>
      <c r="G173" s="8" t="str">
        <f>IFERROR(__xludf.DUMMYFUNCTION("""COMPUTED_VALUE"""),"Anacardier")</f>
        <v>Anacardier</v>
      </c>
      <c r="H173" s="8" t="str">
        <f>IFERROR(__xludf.DUMMYFUNCTION("""COMPUTED_VALUE"""),"graft")</f>
        <v>graft</v>
      </c>
      <c r="I173" s="8" t="str">
        <f>IFERROR(__xludf.DUMMYFUNCTION("""COMPUTED_VALUE"""),"C174")</f>
        <v>C174</v>
      </c>
      <c r="J173" s="8" t="str">
        <f>IFERROR(__xludf.DUMMYFUNCTION("""COMPUTED_VALUE"""),"15N05")</f>
        <v>15N05</v>
      </c>
      <c r="K173" s="8"/>
      <c r="L173" s="8">
        <f>IFERROR(__xludf.DUMMYFUNCTION("""COMPUTED_VALUE"""),1.0)</f>
        <v>1</v>
      </c>
      <c r="M173" s="8">
        <f>IFERROR(__xludf.DUMMYFUNCTION("""COMPUTED_VALUE"""),0.0)</f>
        <v>0</v>
      </c>
      <c r="N173" s="8">
        <f>IFERROR(__xludf.DUMMYFUNCTION("""COMPUTED_VALUE"""),20.0)</f>
        <v>20</v>
      </c>
      <c r="O173" s="8"/>
      <c r="P173" s="8"/>
      <c r="Q173" s="8"/>
      <c r="R173" s="8"/>
      <c r="S173" s="8"/>
      <c r="T173" s="8"/>
      <c r="U173" s="8"/>
      <c r="V173" s="8"/>
      <c r="W173" s="8"/>
      <c r="X173" s="8"/>
      <c r="Y173" s="8"/>
      <c r="Z173" s="8"/>
    </row>
    <row r="174">
      <c r="A174" s="8">
        <f>IFERROR(__xludf.DUMMYFUNCTION("""COMPUTED_VALUE"""),175.0)</f>
        <v>175</v>
      </c>
      <c r="B174" s="8" t="str">
        <f>IFERROR(__xludf.DUMMYFUNCTION("""COMPUTED_VALUE"""),"cashew")</f>
        <v>cashew</v>
      </c>
      <c r="C174" s="8" t="str">
        <f>IFERROR(__xludf.DUMMYFUNCTION("""COMPUTED_VALUE"""),"graft")</f>
        <v>graft</v>
      </c>
      <c r="D174" s="55" t="str">
        <f>IFERROR(__xludf.DUMMYFUNCTION("""COMPUTED_VALUE"""),"Anacardium occidentale")</f>
        <v>Anacardium occidentale</v>
      </c>
      <c r="E174" s="8" t="str">
        <f>IFERROR(__xludf.DUMMYFUNCTION("""COMPUTED_VALUE"""),"X3264 (Yellow)")</f>
        <v>X3264 (Yellow)</v>
      </c>
      <c r="F174" s="8" t="str">
        <f>IFERROR(__xludf.DUMMYFUNCTION("""COMPUTED_VALUE"""),"Cashew")</f>
        <v>Cashew</v>
      </c>
      <c r="G174" s="8" t="str">
        <f>IFERROR(__xludf.DUMMYFUNCTION("""COMPUTED_VALUE"""),"Anacardier")</f>
        <v>Anacardier</v>
      </c>
      <c r="H174" s="8" t="str">
        <f>IFERROR(__xludf.DUMMYFUNCTION("""COMPUTED_VALUE"""),"graft")</f>
        <v>graft</v>
      </c>
      <c r="I174" s="8" t="str">
        <f>IFERROR(__xludf.DUMMYFUNCTION("""COMPUTED_VALUE"""),"C175")</f>
        <v>C175</v>
      </c>
      <c r="J174" s="8" t="str">
        <f>IFERROR(__xludf.DUMMYFUNCTION("""COMPUTED_VALUE"""),"15N06")</f>
        <v>15N06</v>
      </c>
      <c r="K174" s="8"/>
      <c r="L174" s="8">
        <f>IFERROR(__xludf.DUMMYFUNCTION("""COMPUTED_VALUE"""),1.0)</f>
        <v>1</v>
      </c>
      <c r="M174" s="8">
        <f>IFERROR(__xludf.DUMMYFUNCTION("""COMPUTED_VALUE"""),0.0)</f>
        <v>0</v>
      </c>
      <c r="N174" s="8">
        <f>IFERROR(__xludf.DUMMYFUNCTION("""COMPUTED_VALUE"""),20.0)</f>
        <v>20</v>
      </c>
      <c r="O174" s="8"/>
      <c r="P174" s="8"/>
      <c r="Q174" s="8"/>
      <c r="R174" s="8"/>
      <c r="S174" s="8"/>
      <c r="T174" s="8"/>
      <c r="U174" s="8"/>
      <c r="V174" s="8"/>
      <c r="W174" s="8"/>
      <c r="X174" s="8"/>
      <c r="Y174" s="8"/>
      <c r="Z174" s="8"/>
    </row>
    <row r="175">
      <c r="A175" s="8">
        <f>IFERROR(__xludf.DUMMYFUNCTION("""COMPUTED_VALUE"""),176.0)</f>
        <v>176</v>
      </c>
      <c r="B175" s="8" t="str">
        <f>IFERROR(__xludf.DUMMYFUNCTION("""COMPUTED_VALUE"""),"cashew")</f>
        <v>cashew</v>
      </c>
      <c r="C175" s="8" t="str">
        <f>IFERROR(__xludf.DUMMYFUNCTION("""COMPUTED_VALUE"""),"graft")</f>
        <v>graft</v>
      </c>
      <c r="D175" s="55" t="str">
        <f>IFERROR(__xludf.DUMMYFUNCTION("""COMPUTED_VALUE"""),"Anacardium occidentale")</f>
        <v>Anacardium occidentale</v>
      </c>
      <c r="E175" s="8" t="str">
        <f>IFERROR(__xludf.DUMMYFUNCTION("""COMPUTED_VALUE"""),"X4297 (Red)")</f>
        <v>X4297 (Red)</v>
      </c>
      <c r="F175" s="8" t="str">
        <f>IFERROR(__xludf.DUMMYFUNCTION("""COMPUTED_VALUE"""),"Cashew")</f>
        <v>Cashew</v>
      </c>
      <c r="G175" s="8" t="str">
        <f>IFERROR(__xludf.DUMMYFUNCTION("""COMPUTED_VALUE"""),"Anacardier")</f>
        <v>Anacardier</v>
      </c>
      <c r="H175" s="8" t="str">
        <f>IFERROR(__xludf.DUMMYFUNCTION("""COMPUTED_VALUE"""),"graft")</f>
        <v>graft</v>
      </c>
      <c r="I175" s="8" t="str">
        <f>IFERROR(__xludf.DUMMYFUNCTION("""COMPUTED_VALUE"""),"C176")</f>
        <v>C176</v>
      </c>
      <c r="J175" s="8" t="str">
        <f>IFERROR(__xludf.DUMMYFUNCTION("""COMPUTED_VALUE"""),"15N07")</f>
        <v>15N07</v>
      </c>
      <c r="K175" s="8"/>
      <c r="L175" s="8">
        <f>IFERROR(__xludf.DUMMYFUNCTION("""COMPUTED_VALUE"""),1.0)</f>
        <v>1</v>
      </c>
      <c r="M175" s="8">
        <f>IFERROR(__xludf.DUMMYFUNCTION("""COMPUTED_VALUE"""),0.0)</f>
        <v>0</v>
      </c>
      <c r="N175" s="8">
        <f>IFERROR(__xludf.DUMMYFUNCTION("""COMPUTED_VALUE"""),22.0)</f>
        <v>22</v>
      </c>
      <c r="O175" s="8"/>
      <c r="P175" s="8"/>
      <c r="Q175" s="8"/>
      <c r="R175" s="8"/>
      <c r="S175" s="8"/>
      <c r="T175" s="8"/>
      <c r="U175" s="8"/>
      <c r="V175" s="8"/>
      <c r="W175" s="8"/>
      <c r="X175" s="8"/>
      <c r="Y175" s="8"/>
      <c r="Z175" s="8"/>
    </row>
    <row r="176">
      <c r="A176" s="8">
        <f>IFERROR(__xludf.DUMMYFUNCTION("""COMPUTED_VALUE"""),177.0)</f>
        <v>177</v>
      </c>
      <c r="B176" s="8" t="str">
        <f>IFERROR(__xludf.DUMMYFUNCTION("""COMPUTED_VALUE"""),"cashew")</f>
        <v>cashew</v>
      </c>
      <c r="C176" s="8" t="str">
        <f>IFERROR(__xludf.DUMMYFUNCTION("""COMPUTED_VALUE"""),"graft")</f>
        <v>graft</v>
      </c>
      <c r="D176" s="55" t="str">
        <f>IFERROR(__xludf.DUMMYFUNCTION("""COMPUTED_VALUE"""),"Anacardium occidentale")</f>
        <v>Anacardium occidentale</v>
      </c>
      <c r="E176" s="8" t="str">
        <f>IFERROR(__xludf.DUMMYFUNCTION("""COMPUTED_VALUE"""),"X4297 (Red)")</f>
        <v>X4297 (Red)</v>
      </c>
      <c r="F176" s="8" t="str">
        <f>IFERROR(__xludf.DUMMYFUNCTION("""COMPUTED_VALUE"""),"Cashew")</f>
        <v>Cashew</v>
      </c>
      <c r="G176" s="8" t="str">
        <f>IFERROR(__xludf.DUMMYFUNCTION("""COMPUTED_VALUE"""),"Anacardier")</f>
        <v>Anacardier</v>
      </c>
      <c r="H176" s="8" t="str">
        <f>IFERROR(__xludf.DUMMYFUNCTION("""COMPUTED_VALUE"""),"graft")</f>
        <v>graft</v>
      </c>
      <c r="I176" s="8" t="str">
        <f>IFERROR(__xludf.DUMMYFUNCTION("""COMPUTED_VALUE"""),"C177")</f>
        <v>C177</v>
      </c>
      <c r="J176" s="8" t="str">
        <f>IFERROR(__xludf.DUMMYFUNCTION("""COMPUTED_VALUE"""),"15N08")</f>
        <v>15N08</v>
      </c>
      <c r="K176" s="8"/>
      <c r="L176" s="8">
        <f>IFERROR(__xludf.DUMMYFUNCTION("""COMPUTED_VALUE"""),1.0)</f>
        <v>1</v>
      </c>
      <c r="M176" s="8">
        <f>IFERROR(__xludf.DUMMYFUNCTION("""COMPUTED_VALUE"""),0.0)</f>
        <v>0</v>
      </c>
      <c r="N176" s="8">
        <f>IFERROR(__xludf.DUMMYFUNCTION("""COMPUTED_VALUE"""),22.0)</f>
        <v>22</v>
      </c>
      <c r="O176" s="8"/>
      <c r="P176" s="8"/>
      <c r="Q176" s="8"/>
      <c r="R176" s="8"/>
      <c r="S176" s="8"/>
      <c r="T176" s="8"/>
      <c r="U176" s="8"/>
      <c r="V176" s="8"/>
      <c r="W176" s="8"/>
      <c r="X176" s="8"/>
      <c r="Y176" s="8"/>
      <c r="Z176" s="8"/>
    </row>
    <row r="177">
      <c r="A177" s="8">
        <f>IFERROR(__xludf.DUMMYFUNCTION("""COMPUTED_VALUE"""),178.0)</f>
        <v>178</v>
      </c>
      <c r="B177" s="8" t="str">
        <f>IFERROR(__xludf.DUMMYFUNCTION("""COMPUTED_VALUE"""),"cashew")</f>
        <v>cashew</v>
      </c>
      <c r="C177" s="8" t="str">
        <f>IFERROR(__xludf.DUMMYFUNCTION("""COMPUTED_VALUE"""),"graft")</f>
        <v>graft</v>
      </c>
      <c r="D177" s="55" t="str">
        <f>IFERROR(__xludf.DUMMYFUNCTION("""COMPUTED_VALUE"""),"Anacardium occidentale")</f>
        <v>Anacardium occidentale</v>
      </c>
      <c r="E177" s="8" t="str">
        <f>IFERROR(__xludf.DUMMYFUNCTION("""COMPUTED_VALUE"""),"X4297 (Red)")</f>
        <v>X4297 (Red)</v>
      </c>
      <c r="F177" s="8" t="str">
        <f>IFERROR(__xludf.DUMMYFUNCTION("""COMPUTED_VALUE"""),"Cashew")</f>
        <v>Cashew</v>
      </c>
      <c r="G177" s="8" t="str">
        <f>IFERROR(__xludf.DUMMYFUNCTION("""COMPUTED_VALUE"""),"Anacardier")</f>
        <v>Anacardier</v>
      </c>
      <c r="H177" s="8" t="str">
        <f>IFERROR(__xludf.DUMMYFUNCTION("""COMPUTED_VALUE"""),"graft")</f>
        <v>graft</v>
      </c>
      <c r="I177" s="8" t="str">
        <f>IFERROR(__xludf.DUMMYFUNCTION("""COMPUTED_VALUE"""),"C178")</f>
        <v>C178</v>
      </c>
      <c r="J177" s="8" t="str">
        <f>IFERROR(__xludf.DUMMYFUNCTION("""COMPUTED_VALUE"""),"15N09")</f>
        <v>15N09</v>
      </c>
      <c r="K177" s="8"/>
      <c r="L177" s="8">
        <f>IFERROR(__xludf.DUMMYFUNCTION("""COMPUTED_VALUE"""),1.0)</f>
        <v>1</v>
      </c>
      <c r="M177" s="8">
        <f>IFERROR(__xludf.DUMMYFUNCTION("""COMPUTED_VALUE"""),0.0)</f>
        <v>0</v>
      </c>
      <c r="N177" s="8">
        <f>IFERROR(__xludf.DUMMYFUNCTION("""COMPUTED_VALUE"""),22.0)</f>
        <v>22</v>
      </c>
      <c r="O177" s="8"/>
      <c r="P177" s="8"/>
      <c r="Q177" s="8"/>
      <c r="R177" s="8"/>
      <c r="S177" s="8"/>
      <c r="T177" s="8"/>
      <c r="U177" s="8"/>
      <c r="V177" s="8"/>
      <c r="W177" s="8"/>
      <c r="X177" s="8"/>
      <c r="Y177" s="8"/>
      <c r="Z177" s="8"/>
    </row>
    <row r="178">
      <c r="A178" s="8">
        <f>IFERROR(__xludf.DUMMYFUNCTION("""COMPUTED_VALUE"""),179.0)</f>
        <v>179</v>
      </c>
      <c r="B178" s="8" t="str">
        <f>IFERROR(__xludf.DUMMYFUNCTION("""COMPUTED_VALUE"""),"cashew")</f>
        <v>cashew</v>
      </c>
      <c r="C178" s="8" t="str">
        <f>IFERROR(__xludf.DUMMYFUNCTION("""COMPUTED_VALUE"""),"graft")</f>
        <v>graft</v>
      </c>
      <c r="D178" s="55" t="str">
        <f>IFERROR(__xludf.DUMMYFUNCTION("""COMPUTED_VALUE"""),"Anacardium occidentale")</f>
        <v>Anacardium occidentale</v>
      </c>
      <c r="E178" s="8" t="str">
        <f>IFERROR(__xludf.DUMMYFUNCTION("""COMPUTED_VALUE"""),"X4297 (Red)")</f>
        <v>X4297 (Red)</v>
      </c>
      <c r="F178" s="8" t="str">
        <f>IFERROR(__xludf.DUMMYFUNCTION("""COMPUTED_VALUE"""),"Cashew")</f>
        <v>Cashew</v>
      </c>
      <c r="G178" s="8" t="str">
        <f>IFERROR(__xludf.DUMMYFUNCTION("""COMPUTED_VALUE"""),"Anacardier")</f>
        <v>Anacardier</v>
      </c>
      <c r="H178" s="8" t="str">
        <f>IFERROR(__xludf.DUMMYFUNCTION("""COMPUTED_VALUE"""),"graft")</f>
        <v>graft</v>
      </c>
      <c r="I178" s="8" t="str">
        <f>IFERROR(__xludf.DUMMYFUNCTION("""COMPUTED_VALUE"""),"C179")</f>
        <v>C179</v>
      </c>
      <c r="J178" s="8" t="str">
        <f>IFERROR(__xludf.DUMMYFUNCTION("""COMPUTED_VALUE"""),"15N10")</f>
        <v>15N10</v>
      </c>
      <c r="K178" s="8"/>
      <c r="L178" s="8">
        <f>IFERROR(__xludf.DUMMYFUNCTION("""COMPUTED_VALUE"""),1.0)</f>
        <v>1</v>
      </c>
      <c r="M178" s="8">
        <f>IFERROR(__xludf.DUMMYFUNCTION("""COMPUTED_VALUE"""),0.0)</f>
        <v>0</v>
      </c>
      <c r="N178" s="8">
        <f>IFERROR(__xludf.DUMMYFUNCTION("""COMPUTED_VALUE"""),22.0)</f>
        <v>22</v>
      </c>
      <c r="O178" s="8"/>
      <c r="P178" s="8"/>
      <c r="Q178" s="8"/>
      <c r="R178" s="8"/>
      <c r="S178" s="8"/>
      <c r="T178" s="8"/>
      <c r="U178" s="8"/>
      <c r="V178" s="8"/>
      <c r="W178" s="8"/>
      <c r="X178" s="8"/>
      <c r="Y178" s="8"/>
      <c r="Z178" s="8"/>
    </row>
    <row r="179">
      <c r="A179" s="8">
        <f>IFERROR(__xludf.DUMMYFUNCTION("""COMPUTED_VALUE"""),180.0)</f>
        <v>180</v>
      </c>
      <c r="B179" s="8" t="str">
        <f>IFERROR(__xludf.DUMMYFUNCTION("""COMPUTED_VALUE"""),"cashew")</f>
        <v>cashew</v>
      </c>
      <c r="C179" s="8" t="str">
        <f>IFERROR(__xludf.DUMMYFUNCTION("""COMPUTED_VALUE"""),"graft")</f>
        <v>graft</v>
      </c>
      <c r="D179" s="55" t="str">
        <f>IFERROR(__xludf.DUMMYFUNCTION("""COMPUTED_VALUE"""),"Anacardium occidentale")</f>
        <v>Anacardium occidentale</v>
      </c>
      <c r="E179" s="8" t="str">
        <f>IFERROR(__xludf.DUMMYFUNCTION("""COMPUTED_VALUE"""),"X4297 (Red)")</f>
        <v>X4297 (Red)</v>
      </c>
      <c r="F179" s="8" t="str">
        <f>IFERROR(__xludf.DUMMYFUNCTION("""COMPUTED_VALUE"""),"Cashew")</f>
        <v>Cashew</v>
      </c>
      <c r="G179" s="8" t="str">
        <f>IFERROR(__xludf.DUMMYFUNCTION("""COMPUTED_VALUE"""),"Anacardier")</f>
        <v>Anacardier</v>
      </c>
      <c r="H179" s="8" t="str">
        <f>IFERROR(__xludf.DUMMYFUNCTION("""COMPUTED_VALUE"""),"graft")</f>
        <v>graft</v>
      </c>
      <c r="I179" s="8" t="str">
        <f>IFERROR(__xludf.DUMMYFUNCTION("""COMPUTED_VALUE"""),"C180")</f>
        <v>C180</v>
      </c>
      <c r="J179" s="8" t="str">
        <f>IFERROR(__xludf.DUMMYFUNCTION("""COMPUTED_VALUE"""),"15N11")</f>
        <v>15N11</v>
      </c>
      <c r="K179" s="8"/>
      <c r="L179" s="8">
        <f>IFERROR(__xludf.DUMMYFUNCTION("""COMPUTED_VALUE"""),1.0)</f>
        <v>1</v>
      </c>
      <c r="M179" s="8">
        <f>IFERROR(__xludf.DUMMYFUNCTION("""COMPUTED_VALUE"""),0.0)</f>
        <v>0</v>
      </c>
      <c r="N179" s="8">
        <f>IFERROR(__xludf.DUMMYFUNCTION("""COMPUTED_VALUE"""),22.0)</f>
        <v>22</v>
      </c>
      <c r="O179" s="8"/>
      <c r="P179" s="8"/>
      <c r="Q179" s="8"/>
      <c r="R179" s="8"/>
      <c r="S179" s="8"/>
      <c r="T179" s="8"/>
      <c r="U179" s="8"/>
      <c r="V179" s="8"/>
      <c r="W179" s="8"/>
      <c r="X179" s="8"/>
      <c r="Y179" s="8"/>
      <c r="Z179" s="8"/>
    </row>
    <row r="180">
      <c r="A180" s="8">
        <f>IFERROR(__xludf.DUMMYFUNCTION("""COMPUTED_VALUE"""),181.0)</f>
        <v>181</v>
      </c>
      <c r="B180" s="8" t="str">
        <f>IFERROR(__xludf.DUMMYFUNCTION("""COMPUTED_VALUE"""),"cashew")</f>
        <v>cashew</v>
      </c>
      <c r="C180" s="8" t="str">
        <f>IFERROR(__xludf.DUMMYFUNCTION("""COMPUTED_VALUE"""),"graft")</f>
        <v>graft</v>
      </c>
      <c r="D180" s="55" t="str">
        <f>IFERROR(__xludf.DUMMYFUNCTION("""COMPUTED_VALUE"""),"Anacardium occidentale")</f>
        <v>Anacardium occidentale</v>
      </c>
      <c r="E180" s="8" t="str">
        <f>IFERROR(__xludf.DUMMYFUNCTION("""COMPUTED_VALUE"""),"X4297 (Red)")</f>
        <v>X4297 (Red)</v>
      </c>
      <c r="F180" s="8" t="str">
        <f>IFERROR(__xludf.DUMMYFUNCTION("""COMPUTED_VALUE"""),"Cashew")</f>
        <v>Cashew</v>
      </c>
      <c r="G180" s="8" t="str">
        <f>IFERROR(__xludf.DUMMYFUNCTION("""COMPUTED_VALUE"""),"Anacardier")</f>
        <v>Anacardier</v>
      </c>
      <c r="H180" s="8" t="str">
        <f>IFERROR(__xludf.DUMMYFUNCTION("""COMPUTED_VALUE"""),"graft")</f>
        <v>graft</v>
      </c>
      <c r="I180" s="8" t="str">
        <f>IFERROR(__xludf.DUMMYFUNCTION("""COMPUTED_VALUE"""),"C181")</f>
        <v>C181</v>
      </c>
      <c r="J180" s="8" t="str">
        <f>IFERROR(__xludf.DUMMYFUNCTION("""COMPUTED_VALUE"""),"15N12")</f>
        <v>15N12</v>
      </c>
      <c r="K180" s="8"/>
      <c r="L180" s="8">
        <f>IFERROR(__xludf.DUMMYFUNCTION("""COMPUTED_VALUE"""),1.0)</f>
        <v>1</v>
      </c>
      <c r="M180" s="8">
        <f>IFERROR(__xludf.DUMMYFUNCTION("""COMPUTED_VALUE"""),0.0)</f>
        <v>0</v>
      </c>
      <c r="N180" s="8">
        <f>IFERROR(__xludf.DUMMYFUNCTION("""COMPUTED_VALUE"""),22.0)</f>
        <v>22</v>
      </c>
      <c r="O180" s="8"/>
      <c r="P180" s="8"/>
      <c r="Q180" s="8"/>
      <c r="R180" s="8"/>
      <c r="S180" s="8"/>
      <c r="T180" s="8"/>
      <c r="U180" s="8"/>
      <c r="V180" s="8"/>
      <c r="W180" s="8"/>
      <c r="X180" s="8"/>
      <c r="Y180" s="8"/>
      <c r="Z180" s="8"/>
    </row>
    <row r="181">
      <c r="A181" s="8">
        <f>IFERROR(__xludf.DUMMYFUNCTION("""COMPUTED_VALUE"""),182.0)</f>
        <v>182</v>
      </c>
      <c r="B181" s="8" t="str">
        <f>IFERROR(__xludf.DUMMYFUNCTION("""COMPUTED_VALUE"""),"cashew")</f>
        <v>cashew</v>
      </c>
      <c r="C181" s="8" t="str">
        <f>IFERROR(__xludf.DUMMYFUNCTION("""COMPUTED_VALUE"""),"graft")</f>
        <v>graft</v>
      </c>
      <c r="D181" s="55" t="str">
        <f>IFERROR(__xludf.DUMMYFUNCTION("""COMPUTED_VALUE"""),"Anacardium occidentale")</f>
        <v>Anacardium occidentale</v>
      </c>
      <c r="E181" s="8" t="str">
        <f>IFERROR(__xludf.DUMMYFUNCTION("""COMPUTED_VALUE"""),"X4297 (Red)")</f>
        <v>X4297 (Red)</v>
      </c>
      <c r="F181" s="8" t="str">
        <f>IFERROR(__xludf.DUMMYFUNCTION("""COMPUTED_VALUE"""),"Cashew")</f>
        <v>Cashew</v>
      </c>
      <c r="G181" s="8" t="str">
        <f>IFERROR(__xludf.DUMMYFUNCTION("""COMPUTED_VALUE"""),"Anacardier")</f>
        <v>Anacardier</v>
      </c>
      <c r="H181" s="8" t="str">
        <f>IFERROR(__xludf.DUMMYFUNCTION("""COMPUTED_VALUE"""),"graft")</f>
        <v>graft</v>
      </c>
      <c r="I181" s="8" t="str">
        <f>IFERROR(__xludf.DUMMYFUNCTION("""COMPUTED_VALUE"""),"C182")</f>
        <v>C182</v>
      </c>
      <c r="J181" s="8" t="str">
        <f>IFERROR(__xludf.DUMMYFUNCTION("""COMPUTED_VALUE"""),"16N01")</f>
        <v>16N01</v>
      </c>
      <c r="K181" s="8"/>
      <c r="L181" s="8">
        <f>IFERROR(__xludf.DUMMYFUNCTION("""COMPUTED_VALUE"""),1.0)</f>
        <v>1</v>
      </c>
      <c r="M181" s="8">
        <f>IFERROR(__xludf.DUMMYFUNCTION("""COMPUTED_VALUE"""),0.0)</f>
        <v>0</v>
      </c>
      <c r="N181" s="8">
        <f>IFERROR(__xludf.DUMMYFUNCTION("""COMPUTED_VALUE"""),22.0)</f>
        <v>22</v>
      </c>
      <c r="O181" s="8"/>
      <c r="P181" s="8"/>
      <c r="Q181" s="8"/>
      <c r="R181" s="8"/>
      <c r="S181" s="8"/>
      <c r="T181" s="8"/>
      <c r="U181" s="8"/>
      <c r="V181" s="8"/>
      <c r="W181" s="8"/>
      <c r="X181" s="8"/>
      <c r="Y181" s="8"/>
      <c r="Z181" s="8"/>
    </row>
    <row r="182">
      <c r="A182" s="8">
        <f>IFERROR(__xludf.DUMMYFUNCTION("""COMPUTED_VALUE"""),183.0)</f>
        <v>183</v>
      </c>
      <c r="B182" s="8" t="str">
        <f>IFERROR(__xludf.DUMMYFUNCTION("""COMPUTED_VALUE"""),"cashew")</f>
        <v>cashew</v>
      </c>
      <c r="C182" s="8" t="str">
        <f>IFERROR(__xludf.DUMMYFUNCTION("""COMPUTED_VALUE"""),"graft")</f>
        <v>graft</v>
      </c>
      <c r="D182" s="55" t="str">
        <f>IFERROR(__xludf.DUMMYFUNCTION("""COMPUTED_VALUE"""),"Anacardium occidentale")</f>
        <v>Anacardium occidentale</v>
      </c>
      <c r="E182" s="8" t="str">
        <f>IFERROR(__xludf.DUMMYFUNCTION("""COMPUTED_VALUE"""),"X4297 (Red)")</f>
        <v>X4297 (Red)</v>
      </c>
      <c r="F182" s="8" t="str">
        <f>IFERROR(__xludf.DUMMYFUNCTION("""COMPUTED_VALUE"""),"Cashew")</f>
        <v>Cashew</v>
      </c>
      <c r="G182" s="8" t="str">
        <f>IFERROR(__xludf.DUMMYFUNCTION("""COMPUTED_VALUE"""),"Anacardier")</f>
        <v>Anacardier</v>
      </c>
      <c r="H182" s="8" t="str">
        <f>IFERROR(__xludf.DUMMYFUNCTION("""COMPUTED_VALUE"""),"graft")</f>
        <v>graft</v>
      </c>
      <c r="I182" s="8" t="str">
        <f>IFERROR(__xludf.DUMMYFUNCTION("""COMPUTED_VALUE"""),"C183")</f>
        <v>C183</v>
      </c>
      <c r="J182" s="8" t="str">
        <f>IFERROR(__xludf.DUMMYFUNCTION("""COMPUTED_VALUE"""),"16N02")</f>
        <v>16N02</v>
      </c>
      <c r="K182" s="8"/>
      <c r="L182" s="8">
        <f>IFERROR(__xludf.DUMMYFUNCTION("""COMPUTED_VALUE"""),1.0)</f>
        <v>1</v>
      </c>
      <c r="M182" s="8">
        <f>IFERROR(__xludf.DUMMYFUNCTION("""COMPUTED_VALUE"""),0.0)</f>
        <v>0</v>
      </c>
      <c r="N182" s="8">
        <f>IFERROR(__xludf.DUMMYFUNCTION("""COMPUTED_VALUE"""),22.0)</f>
        <v>22</v>
      </c>
      <c r="O182" s="8"/>
      <c r="P182" s="8"/>
      <c r="Q182" s="8"/>
      <c r="R182" s="8"/>
      <c r="S182" s="8"/>
      <c r="T182" s="8"/>
      <c r="U182" s="8"/>
      <c r="V182" s="8"/>
      <c r="W182" s="8"/>
      <c r="X182" s="8"/>
      <c r="Y182" s="8"/>
      <c r="Z182" s="8"/>
    </row>
    <row r="183">
      <c r="A183" s="8">
        <f>IFERROR(__xludf.DUMMYFUNCTION("""COMPUTED_VALUE"""),184.0)</f>
        <v>184</v>
      </c>
      <c r="B183" s="8" t="str">
        <f>IFERROR(__xludf.DUMMYFUNCTION("""COMPUTED_VALUE"""),"cashew")</f>
        <v>cashew</v>
      </c>
      <c r="C183" s="8" t="str">
        <f>IFERROR(__xludf.DUMMYFUNCTION("""COMPUTED_VALUE"""),"graft")</f>
        <v>graft</v>
      </c>
      <c r="D183" s="55" t="str">
        <f>IFERROR(__xludf.DUMMYFUNCTION("""COMPUTED_VALUE"""),"Anacardium occidentale")</f>
        <v>Anacardium occidentale</v>
      </c>
      <c r="E183" s="8" t="str">
        <f>IFERROR(__xludf.DUMMYFUNCTION("""COMPUTED_VALUE"""),"X4297 (Red)")</f>
        <v>X4297 (Red)</v>
      </c>
      <c r="F183" s="8" t="str">
        <f>IFERROR(__xludf.DUMMYFUNCTION("""COMPUTED_VALUE"""),"Cashew")</f>
        <v>Cashew</v>
      </c>
      <c r="G183" s="8" t="str">
        <f>IFERROR(__xludf.DUMMYFUNCTION("""COMPUTED_VALUE"""),"Anacardier")</f>
        <v>Anacardier</v>
      </c>
      <c r="H183" s="8" t="str">
        <f>IFERROR(__xludf.DUMMYFUNCTION("""COMPUTED_VALUE"""),"graft")</f>
        <v>graft</v>
      </c>
      <c r="I183" s="8" t="str">
        <f>IFERROR(__xludf.DUMMYFUNCTION("""COMPUTED_VALUE"""),"C184")</f>
        <v>C184</v>
      </c>
      <c r="J183" s="8" t="str">
        <f>IFERROR(__xludf.DUMMYFUNCTION("""COMPUTED_VALUE"""),"16N03")</f>
        <v>16N03</v>
      </c>
      <c r="K183" s="8"/>
      <c r="L183" s="8">
        <f>IFERROR(__xludf.DUMMYFUNCTION("""COMPUTED_VALUE"""),1.0)</f>
        <v>1</v>
      </c>
      <c r="M183" s="8">
        <f>IFERROR(__xludf.DUMMYFUNCTION("""COMPUTED_VALUE"""),0.0)</f>
        <v>0</v>
      </c>
      <c r="N183" s="8">
        <f>IFERROR(__xludf.DUMMYFUNCTION("""COMPUTED_VALUE"""),22.0)</f>
        <v>22</v>
      </c>
      <c r="O183" s="8"/>
      <c r="P183" s="8"/>
      <c r="Q183" s="8"/>
      <c r="R183" s="8"/>
      <c r="S183" s="8"/>
      <c r="T183" s="8"/>
      <c r="U183" s="8"/>
      <c r="V183" s="8"/>
      <c r="W183" s="8"/>
      <c r="X183" s="8"/>
      <c r="Y183" s="8"/>
      <c r="Z183" s="8"/>
    </row>
    <row r="184">
      <c r="A184" s="8">
        <f>IFERROR(__xludf.DUMMYFUNCTION("""COMPUTED_VALUE"""),185.0)</f>
        <v>185</v>
      </c>
      <c r="B184" s="8" t="str">
        <f>IFERROR(__xludf.DUMMYFUNCTION("""COMPUTED_VALUE"""),"cashew")</f>
        <v>cashew</v>
      </c>
      <c r="C184" s="8" t="str">
        <f>IFERROR(__xludf.DUMMYFUNCTION("""COMPUTED_VALUE"""),"graft")</f>
        <v>graft</v>
      </c>
      <c r="D184" s="55" t="str">
        <f>IFERROR(__xludf.DUMMYFUNCTION("""COMPUTED_VALUE"""),"Anacardium occidentale")</f>
        <v>Anacardium occidentale</v>
      </c>
      <c r="E184" s="8" t="str">
        <f>IFERROR(__xludf.DUMMYFUNCTION("""COMPUTED_VALUE"""),"X4297 (Red)")</f>
        <v>X4297 (Red)</v>
      </c>
      <c r="F184" s="8" t="str">
        <f>IFERROR(__xludf.DUMMYFUNCTION("""COMPUTED_VALUE"""),"Cashew")</f>
        <v>Cashew</v>
      </c>
      <c r="G184" s="8" t="str">
        <f>IFERROR(__xludf.DUMMYFUNCTION("""COMPUTED_VALUE"""),"Anacardier")</f>
        <v>Anacardier</v>
      </c>
      <c r="H184" s="8" t="str">
        <f>IFERROR(__xludf.DUMMYFUNCTION("""COMPUTED_VALUE"""),"graft")</f>
        <v>graft</v>
      </c>
      <c r="I184" s="8" t="str">
        <f>IFERROR(__xludf.DUMMYFUNCTION("""COMPUTED_VALUE"""),"C185")</f>
        <v>C185</v>
      </c>
      <c r="J184" s="8" t="str">
        <f>IFERROR(__xludf.DUMMYFUNCTION("""COMPUTED_VALUE"""),"16N04")</f>
        <v>16N04</v>
      </c>
      <c r="K184" s="8"/>
      <c r="L184" s="8">
        <f>IFERROR(__xludf.DUMMYFUNCTION("""COMPUTED_VALUE"""),1.0)</f>
        <v>1</v>
      </c>
      <c r="M184" s="8">
        <f>IFERROR(__xludf.DUMMYFUNCTION("""COMPUTED_VALUE"""),0.0)</f>
        <v>0</v>
      </c>
      <c r="N184" s="8">
        <f>IFERROR(__xludf.DUMMYFUNCTION("""COMPUTED_VALUE"""),22.0)</f>
        <v>22</v>
      </c>
      <c r="O184" s="8"/>
      <c r="P184" s="8"/>
      <c r="Q184" s="8"/>
      <c r="R184" s="8"/>
      <c r="S184" s="8"/>
      <c r="T184" s="8"/>
      <c r="U184" s="8"/>
      <c r="V184" s="8"/>
      <c r="W184" s="8"/>
      <c r="X184" s="8"/>
      <c r="Y184" s="8"/>
      <c r="Z184" s="8"/>
    </row>
    <row r="185">
      <c r="A185" s="8">
        <f>IFERROR(__xludf.DUMMYFUNCTION("""COMPUTED_VALUE"""),186.0)</f>
        <v>186</v>
      </c>
      <c r="B185" s="8" t="str">
        <f>IFERROR(__xludf.DUMMYFUNCTION("""COMPUTED_VALUE"""),"cashew")</f>
        <v>cashew</v>
      </c>
      <c r="C185" s="8" t="str">
        <f>IFERROR(__xludf.DUMMYFUNCTION("""COMPUTED_VALUE"""),"graft")</f>
        <v>graft</v>
      </c>
      <c r="D185" s="55" t="str">
        <f>IFERROR(__xludf.DUMMYFUNCTION("""COMPUTED_VALUE"""),"Anacardium occidentale")</f>
        <v>Anacardium occidentale</v>
      </c>
      <c r="E185" s="8" t="str">
        <f>IFERROR(__xludf.DUMMYFUNCTION("""COMPUTED_VALUE"""),"X4297 (Red)")</f>
        <v>X4297 (Red)</v>
      </c>
      <c r="F185" s="8" t="str">
        <f>IFERROR(__xludf.DUMMYFUNCTION("""COMPUTED_VALUE"""),"Cashew")</f>
        <v>Cashew</v>
      </c>
      <c r="G185" s="8" t="str">
        <f>IFERROR(__xludf.DUMMYFUNCTION("""COMPUTED_VALUE"""),"Anacardier")</f>
        <v>Anacardier</v>
      </c>
      <c r="H185" s="8" t="str">
        <f>IFERROR(__xludf.DUMMYFUNCTION("""COMPUTED_VALUE"""),"graft")</f>
        <v>graft</v>
      </c>
      <c r="I185" s="8" t="str">
        <f>IFERROR(__xludf.DUMMYFUNCTION("""COMPUTED_VALUE"""),"C186")</f>
        <v>C186</v>
      </c>
      <c r="J185" s="8" t="str">
        <f>IFERROR(__xludf.DUMMYFUNCTION("""COMPUTED_VALUE"""),"16N05")</f>
        <v>16N05</v>
      </c>
      <c r="K185" s="8"/>
      <c r="L185" s="8">
        <f>IFERROR(__xludf.DUMMYFUNCTION("""COMPUTED_VALUE"""),1.0)</f>
        <v>1</v>
      </c>
      <c r="M185" s="8">
        <f>IFERROR(__xludf.DUMMYFUNCTION("""COMPUTED_VALUE"""),0.0)</f>
        <v>0</v>
      </c>
      <c r="N185" s="8">
        <f>IFERROR(__xludf.DUMMYFUNCTION("""COMPUTED_VALUE"""),22.0)</f>
        <v>22</v>
      </c>
      <c r="O185" s="8"/>
      <c r="P185" s="8"/>
      <c r="Q185" s="8"/>
      <c r="R185" s="8"/>
      <c r="S185" s="8"/>
      <c r="T185" s="8"/>
      <c r="U185" s="8"/>
      <c r="V185" s="8"/>
      <c r="W185" s="8"/>
      <c r="X185" s="8"/>
      <c r="Y185" s="8"/>
      <c r="Z185" s="8"/>
    </row>
    <row r="186">
      <c r="A186" s="8">
        <f>IFERROR(__xludf.DUMMYFUNCTION("""COMPUTED_VALUE"""),187.0)</f>
        <v>187</v>
      </c>
      <c r="B186" s="8" t="str">
        <f>IFERROR(__xludf.DUMMYFUNCTION("""COMPUTED_VALUE"""),"cashew")</f>
        <v>cashew</v>
      </c>
      <c r="C186" s="8" t="str">
        <f>IFERROR(__xludf.DUMMYFUNCTION("""COMPUTED_VALUE"""),"graft")</f>
        <v>graft</v>
      </c>
      <c r="D186" s="55" t="str">
        <f>IFERROR(__xludf.DUMMYFUNCTION("""COMPUTED_VALUE"""),"Anacardium occidentale")</f>
        <v>Anacardium occidentale</v>
      </c>
      <c r="E186" s="8" t="str">
        <f>IFERROR(__xludf.DUMMYFUNCTION("""COMPUTED_VALUE"""),"X4297 (Red)")</f>
        <v>X4297 (Red)</v>
      </c>
      <c r="F186" s="8" t="str">
        <f>IFERROR(__xludf.DUMMYFUNCTION("""COMPUTED_VALUE"""),"Cashew")</f>
        <v>Cashew</v>
      </c>
      <c r="G186" s="8" t="str">
        <f>IFERROR(__xludf.DUMMYFUNCTION("""COMPUTED_VALUE"""),"Anacardier")</f>
        <v>Anacardier</v>
      </c>
      <c r="H186" s="8" t="str">
        <f>IFERROR(__xludf.DUMMYFUNCTION("""COMPUTED_VALUE"""),"graft")</f>
        <v>graft</v>
      </c>
      <c r="I186" s="8" t="str">
        <f>IFERROR(__xludf.DUMMYFUNCTION("""COMPUTED_VALUE"""),"C187")</f>
        <v>C187</v>
      </c>
      <c r="J186" s="8" t="str">
        <f>IFERROR(__xludf.DUMMYFUNCTION("""COMPUTED_VALUE"""),"16N06")</f>
        <v>16N06</v>
      </c>
      <c r="K186" s="8"/>
      <c r="L186" s="8">
        <f>IFERROR(__xludf.DUMMYFUNCTION("""COMPUTED_VALUE"""),1.0)</f>
        <v>1</v>
      </c>
      <c r="M186" s="8">
        <f>IFERROR(__xludf.DUMMYFUNCTION("""COMPUTED_VALUE"""),0.0)</f>
        <v>0</v>
      </c>
      <c r="N186" s="8">
        <f>IFERROR(__xludf.DUMMYFUNCTION("""COMPUTED_VALUE"""),22.0)</f>
        <v>22</v>
      </c>
      <c r="O186" s="8"/>
      <c r="P186" s="8"/>
      <c r="Q186" s="8"/>
      <c r="R186" s="8"/>
      <c r="S186" s="8"/>
      <c r="T186" s="8"/>
      <c r="U186" s="8"/>
      <c r="V186" s="8"/>
      <c r="W186" s="8"/>
      <c r="X186" s="8"/>
      <c r="Y186" s="8"/>
      <c r="Z186" s="8"/>
    </row>
    <row r="187">
      <c r="A187" s="8">
        <f>IFERROR(__xludf.DUMMYFUNCTION("""COMPUTED_VALUE"""),188.0)</f>
        <v>188</v>
      </c>
      <c r="B187" s="8" t="str">
        <f>IFERROR(__xludf.DUMMYFUNCTION("""COMPUTED_VALUE"""),"cashew")</f>
        <v>cashew</v>
      </c>
      <c r="C187" s="8" t="str">
        <f>IFERROR(__xludf.DUMMYFUNCTION("""COMPUTED_VALUE"""),"graft")</f>
        <v>graft</v>
      </c>
      <c r="D187" s="55" t="str">
        <f>IFERROR(__xludf.DUMMYFUNCTION("""COMPUTED_VALUE"""),"Anacardium occidentale")</f>
        <v>Anacardium occidentale</v>
      </c>
      <c r="E187" s="8" t="str">
        <f>IFERROR(__xludf.DUMMYFUNCTION("""COMPUTED_VALUE"""),"Z330 (Orange)")</f>
        <v>Z330 (Orange)</v>
      </c>
      <c r="F187" s="8" t="str">
        <f>IFERROR(__xludf.DUMMYFUNCTION("""COMPUTED_VALUE"""),"Cashew")</f>
        <v>Cashew</v>
      </c>
      <c r="G187" s="8" t="str">
        <f>IFERROR(__xludf.DUMMYFUNCTION("""COMPUTED_VALUE"""),"Anacardier")</f>
        <v>Anacardier</v>
      </c>
      <c r="H187" s="8" t="str">
        <f>IFERROR(__xludf.DUMMYFUNCTION("""COMPUTED_VALUE"""),"graft")</f>
        <v>graft</v>
      </c>
      <c r="I187" s="8" t="str">
        <f>IFERROR(__xludf.DUMMYFUNCTION("""COMPUTED_VALUE"""),"C188")</f>
        <v>C188</v>
      </c>
      <c r="J187" s="8" t="str">
        <f>IFERROR(__xludf.DUMMYFUNCTION("""COMPUTED_VALUE"""),"16N07")</f>
        <v>16N07</v>
      </c>
      <c r="K187" s="8"/>
      <c r="L187" s="8">
        <f>IFERROR(__xludf.DUMMYFUNCTION("""COMPUTED_VALUE"""),1.0)</f>
        <v>1</v>
      </c>
      <c r="M187" s="8">
        <f>IFERROR(__xludf.DUMMYFUNCTION("""COMPUTED_VALUE"""),0.0)</f>
        <v>0</v>
      </c>
      <c r="N187" s="8">
        <f>IFERROR(__xludf.DUMMYFUNCTION("""COMPUTED_VALUE"""),23.0)</f>
        <v>23</v>
      </c>
      <c r="O187" s="8"/>
      <c r="P187" s="8"/>
      <c r="Q187" s="8"/>
      <c r="R187" s="8"/>
      <c r="S187" s="8"/>
      <c r="T187" s="8"/>
      <c r="U187" s="8"/>
      <c r="V187" s="8"/>
      <c r="W187" s="8"/>
      <c r="X187" s="8"/>
      <c r="Y187" s="8"/>
      <c r="Z187" s="8"/>
    </row>
    <row r="188">
      <c r="A188" s="8">
        <f>IFERROR(__xludf.DUMMYFUNCTION("""COMPUTED_VALUE"""),189.0)</f>
        <v>189</v>
      </c>
      <c r="B188" s="8" t="str">
        <f>IFERROR(__xludf.DUMMYFUNCTION("""COMPUTED_VALUE"""),"cashew")</f>
        <v>cashew</v>
      </c>
      <c r="C188" s="8" t="str">
        <f>IFERROR(__xludf.DUMMYFUNCTION("""COMPUTED_VALUE"""),"graft")</f>
        <v>graft</v>
      </c>
      <c r="D188" s="55" t="str">
        <f>IFERROR(__xludf.DUMMYFUNCTION("""COMPUTED_VALUE"""),"Anacardium occidentale")</f>
        <v>Anacardium occidentale</v>
      </c>
      <c r="E188" s="8" t="str">
        <f>IFERROR(__xludf.DUMMYFUNCTION("""COMPUTED_VALUE"""),"Z330 (Orange)")</f>
        <v>Z330 (Orange)</v>
      </c>
      <c r="F188" s="8" t="str">
        <f>IFERROR(__xludf.DUMMYFUNCTION("""COMPUTED_VALUE"""),"Cashew")</f>
        <v>Cashew</v>
      </c>
      <c r="G188" s="8" t="str">
        <f>IFERROR(__xludf.DUMMYFUNCTION("""COMPUTED_VALUE"""),"Anacardier")</f>
        <v>Anacardier</v>
      </c>
      <c r="H188" s="8" t="str">
        <f>IFERROR(__xludf.DUMMYFUNCTION("""COMPUTED_VALUE"""),"graft")</f>
        <v>graft</v>
      </c>
      <c r="I188" s="8" t="str">
        <f>IFERROR(__xludf.DUMMYFUNCTION("""COMPUTED_VALUE"""),"C189")</f>
        <v>C189</v>
      </c>
      <c r="J188" s="8" t="str">
        <f>IFERROR(__xludf.DUMMYFUNCTION("""COMPUTED_VALUE"""),"16N08")</f>
        <v>16N08</v>
      </c>
      <c r="K188" s="8"/>
      <c r="L188" s="8">
        <f>IFERROR(__xludf.DUMMYFUNCTION("""COMPUTED_VALUE"""),1.0)</f>
        <v>1</v>
      </c>
      <c r="M188" s="8">
        <f>IFERROR(__xludf.DUMMYFUNCTION("""COMPUTED_VALUE"""),0.0)</f>
        <v>0</v>
      </c>
      <c r="N188" s="8">
        <f>IFERROR(__xludf.DUMMYFUNCTION("""COMPUTED_VALUE"""),23.0)</f>
        <v>23</v>
      </c>
      <c r="O188" s="8"/>
      <c r="P188" s="8"/>
      <c r="Q188" s="8"/>
      <c r="R188" s="8"/>
      <c r="S188" s="8"/>
      <c r="T188" s="8"/>
      <c r="U188" s="8"/>
      <c r="V188" s="8"/>
      <c r="W188" s="8"/>
      <c r="X188" s="8"/>
      <c r="Y188" s="8"/>
      <c r="Z188" s="8"/>
    </row>
    <row r="189">
      <c r="A189" s="8">
        <f>IFERROR(__xludf.DUMMYFUNCTION("""COMPUTED_VALUE"""),190.0)</f>
        <v>190</v>
      </c>
      <c r="B189" s="8" t="str">
        <f>IFERROR(__xludf.DUMMYFUNCTION("""COMPUTED_VALUE"""),"cashew")</f>
        <v>cashew</v>
      </c>
      <c r="C189" s="8" t="str">
        <f>IFERROR(__xludf.DUMMYFUNCTION("""COMPUTED_VALUE"""),"graft")</f>
        <v>graft</v>
      </c>
      <c r="D189" s="55" t="str">
        <f>IFERROR(__xludf.DUMMYFUNCTION("""COMPUTED_VALUE"""),"Anacardium occidentale")</f>
        <v>Anacardium occidentale</v>
      </c>
      <c r="E189" s="8" t="str">
        <f>IFERROR(__xludf.DUMMYFUNCTION("""COMPUTED_VALUE"""),"Z330 (Orange)")</f>
        <v>Z330 (Orange)</v>
      </c>
      <c r="F189" s="8" t="str">
        <f>IFERROR(__xludf.DUMMYFUNCTION("""COMPUTED_VALUE"""),"Cashew")</f>
        <v>Cashew</v>
      </c>
      <c r="G189" s="8" t="str">
        <f>IFERROR(__xludf.DUMMYFUNCTION("""COMPUTED_VALUE"""),"Anacardier")</f>
        <v>Anacardier</v>
      </c>
      <c r="H189" s="8" t="str">
        <f>IFERROR(__xludf.DUMMYFUNCTION("""COMPUTED_VALUE"""),"graft")</f>
        <v>graft</v>
      </c>
      <c r="I189" s="8" t="str">
        <f>IFERROR(__xludf.DUMMYFUNCTION("""COMPUTED_VALUE"""),"C190")</f>
        <v>C190</v>
      </c>
      <c r="J189" s="8" t="str">
        <f>IFERROR(__xludf.DUMMYFUNCTION("""COMPUTED_VALUE"""),"16N09")</f>
        <v>16N09</v>
      </c>
      <c r="K189" s="8"/>
      <c r="L189" s="8">
        <f>IFERROR(__xludf.DUMMYFUNCTION("""COMPUTED_VALUE"""),1.0)</f>
        <v>1</v>
      </c>
      <c r="M189" s="8">
        <f>IFERROR(__xludf.DUMMYFUNCTION("""COMPUTED_VALUE"""),0.0)</f>
        <v>0</v>
      </c>
      <c r="N189" s="8">
        <f>IFERROR(__xludf.DUMMYFUNCTION("""COMPUTED_VALUE"""),23.0)</f>
        <v>23</v>
      </c>
      <c r="O189" s="8"/>
      <c r="P189" s="8"/>
      <c r="Q189" s="8"/>
      <c r="R189" s="8"/>
      <c r="S189" s="8"/>
      <c r="T189" s="8"/>
      <c r="U189" s="8"/>
      <c r="V189" s="8"/>
      <c r="W189" s="8"/>
      <c r="X189" s="8"/>
      <c r="Y189" s="8"/>
      <c r="Z189" s="8"/>
    </row>
    <row r="190">
      <c r="A190" s="8">
        <f>IFERROR(__xludf.DUMMYFUNCTION("""COMPUTED_VALUE"""),191.0)</f>
        <v>191</v>
      </c>
      <c r="B190" s="8" t="str">
        <f>IFERROR(__xludf.DUMMYFUNCTION("""COMPUTED_VALUE"""),"cashew")</f>
        <v>cashew</v>
      </c>
      <c r="C190" s="8" t="str">
        <f>IFERROR(__xludf.DUMMYFUNCTION("""COMPUTED_VALUE"""),"graft")</f>
        <v>graft</v>
      </c>
      <c r="D190" s="55" t="str">
        <f>IFERROR(__xludf.DUMMYFUNCTION("""COMPUTED_VALUE"""),"Anacardium occidentale")</f>
        <v>Anacardium occidentale</v>
      </c>
      <c r="E190" s="8" t="str">
        <f>IFERROR(__xludf.DUMMYFUNCTION("""COMPUTED_VALUE"""),"Z330 (Orange)")</f>
        <v>Z330 (Orange)</v>
      </c>
      <c r="F190" s="8" t="str">
        <f>IFERROR(__xludf.DUMMYFUNCTION("""COMPUTED_VALUE"""),"Cashew")</f>
        <v>Cashew</v>
      </c>
      <c r="G190" s="8" t="str">
        <f>IFERROR(__xludf.DUMMYFUNCTION("""COMPUTED_VALUE"""),"Anacardier")</f>
        <v>Anacardier</v>
      </c>
      <c r="H190" s="8" t="str">
        <f>IFERROR(__xludf.DUMMYFUNCTION("""COMPUTED_VALUE"""),"graft")</f>
        <v>graft</v>
      </c>
      <c r="I190" s="8" t="str">
        <f>IFERROR(__xludf.DUMMYFUNCTION("""COMPUTED_VALUE"""),"C191")</f>
        <v>C191</v>
      </c>
      <c r="J190" s="8" t="str">
        <f>IFERROR(__xludf.DUMMYFUNCTION("""COMPUTED_VALUE"""),"16N10")</f>
        <v>16N10</v>
      </c>
      <c r="K190" s="8"/>
      <c r="L190" s="8">
        <f>IFERROR(__xludf.DUMMYFUNCTION("""COMPUTED_VALUE"""),1.0)</f>
        <v>1</v>
      </c>
      <c r="M190" s="8">
        <f>IFERROR(__xludf.DUMMYFUNCTION("""COMPUTED_VALUE"""),0.0)</f>
        <v>0</v>
      </c>
      <c r="N190" s="8">
        <f>IFERROR(__xludf.DUMMYFUNCTION("""COMPUTED_VALUE"""),23.0)</f>
        <v>23</v>
      </c>
      <c r="O190" s="8"/>
      <c r="P190" s="8"/>
      <c r="Q190" s="8"/>
      <c r="R190" s="8"/>
      <c r="S190" s="8"/>
      <c r="T190" s="8"/>
      <c r="U190" s="8"/>
      <c r="V190" s="8"/>
      <c r="W190" s="8"/>
      <c r="X190" s="8"/>
      <c r="Y190" s="8"/>
      <c r="Z190" s="8"/>
    </row>
    <row r="191">
      <c r="A191" s="8">
        <f>IFERROR(__xludf.DUMMYFUNCTION("""COMPUTED_VALUE"""),192.0)</f>
        <v>192</v>
      </c>
      <c r="B191" s="8" t="str">
        <f>IFERROR(__xludf.DUMMYFUNCTION("""COMPUTED_VALUE"""),"cashew")</f>
        <v>cashew</v>
      </c>
      <c r="C191" s="8" t="str">
        <f>IFERROR(__xludf.DUMMYFUNCTION("""COMPUTED_VALUE"""),"graft")</f>
        <v>graft</v>
      </c>
      <c r="D191" s="55" t="str">
        <f>IFERROR(__xludf.DUMMYFUNCTION("""COMPUTED_VALUE"""),"Anacardium occidentale")</f>
        <v>Anacardium occidentale</v>
      </c>
      <c r="E191" s="8" t="str">
        <f>IFERROR(__xludf.DUMMYFUNCTION("""COMPUTED_VALUE"""),"Z330 (Orange)")</f>
        <v>Z330 (Orange)</v>
      </c>
      <c r="F191" s="8" t="str">
        <f>IFERROR(__xludf.DUMMYFUNCTION("""COMPUTED_VALUE"""),"Cashew")</f>
        <v>Cashew</v>
      </c>
      <c r="G191" s="8" t="str">
        <f>IFERROR(__xludf.DUMMYFUNCTION("""COMPUTED_VALUE"""),"Anacardier")</f>
        <v>Anacardier</v>
      </c>
      <c r="H191" s="8" t="str">
        <f>IFERROR(__xludf.DUMMYFUNCTION("""COMPUTED_VALUE"""),"graft")</f>
        <v>graft</v>
      </c>
      <c r="I191" s="8" t="str">
        <f>IFERROR(__xludf.DUMMYFUNCTION("""COMPUTED_VALUE"""),"C192")</f>
        <v>C192</v>
      </c>
      <c r="J191" s="8" t="str">
        <f>IFERROR(__xludf.DUMMYFUNCTION("""COMPUTED_VALUE"""),"16N11")</f>
        <v>16N11</v>
      </c>
      <c r="K191" s="8"/>
      <c r="L191" s="8">
        <f>IFERROR(__xludf.DUMMYFUNCTION("""COMPUTED_VALUE"""),1.0)</f>
        <v>1</v>
      </c>
      <c r="M191" s="8">
        <f>IFERROR(__xludf.DUMMYFUNCTION("""COMPUTED_VALUE"""),0.0)</f>
        <v>0</v>
      </c>
      <c r="N191" s="8">
        <f>IFERROR(__xludf.DUMMYFUNCTION("""COMPUTED_VALUE"""),23.0)</f>
        <v>23</v>
      </c>
      <c r="O191" s="8"/>
      <c r="P191" s="8"/>
      <c r="Q191" s="8"/>
      <c r="R191" s="8"/>
      <c r="S191" s="8"/>
      <c r="T191" s="8"/>
      <c r="U191" s="8"/>
      <c r="V191" s="8"/>
      <c r="W191" s="8"/>
      <c r="X191" s="8"/>
      <c r="Y191" s="8"/>
      <c r="Z191" s="8"/>
    </row>
    <row r="192">
      <c r="A192" s="8">
        <f>IFERROR(__xludf.DUMMYFUNCTION("""COMPUTED_VALUE"""),193.0)</f>
        <v>193</v>
      </c>
      <c r="B192" s="8" t="str">
        <f>IFERROR(__xludf.DUMMYFUNCTION("""COMPUTED_VALUE"""),"cashew")</f>
        <v>cashew</v>
      </c>
      <c r="C192" s="8" t="str">
        <f>IFERROR(__xludf.DUMMYFUNCTION("""COMPUTED_VALUE"""),"graft")</f>
        <v>graft</v>
      </c>
      <c r="D192" s="55" t="str">
        <f>IFERROR(__xludf.DUMMYFUNCTION("""COMPUTED_VALUE"""),"Anacardium occidentale")</f>
        <v>Anacardium occidentale</v>
      </c>
      <c r="E192" s="8" t="str">
        <f>IFERROR(__xludf.DUMMYFUNCTION("""COMPUTED_VALUE"""),"Z330 (Orange)")</f>
        <v>Z330 (Orange)</v>
      </c>
      <c r="F192" s="8" t="str">
        <f>IFERROR(__xludf.DUMMYFUNCTION("""COMPUTED_VALUE"""),"Cashew")</f>
        <v>Cashew</v>
      </c>
      <c r="G192" s="8" t="str">
        <f>IFERROR(__xludf.DUMMYFUNCTION("""COMPUTED_VALUE"""),"Anacardier")</f>
        <v>Anacardier</v>
      </c>
      <c r="H192" s="8" t="str">
        <f>IFERROR(__xludf.DUMMYFUNCTION("""COMPUTED_VALUE"""),"graft")</f>
        <v>graft</v>
      </c>
      <c r="I192" s="8" t="str">
        <f>IFERROR(__xludf.DUMMYFUNCTION("""COMPUTED_VALUE"""),"C193")</f>
        <v>C193</v>
      </c>
      <c r="J192" s="8" t="str">
        <f>IFERROR(__xludf.DUMMYFUNCTION("""COMPUTED_VALUE"""),"16N12")</f>
        <v>16N12</v>
      </c>
      <c r="K192" s="8"/>
      <c r="L192" s="8">
        <f>IFERROR(__xludf.DUMMYFUNCTION("""COMPUTED_VALUE"""),1.0)</f>
        <v>1</v>
      </c>
      <c r="M192" s="8">
        <f>IFERROR(__xludf.DUMMYFUNCTION("""COMPUTED_VALUE"""),0.0)</f>
        <v>0</v>
      </c>
      <c r="N192" s="8">
        <f>IFERROR(__xludf.DUMMYFUNCTION("""COMPUTED_VALUE"""),23.0)</f>
        <v>23</v>
      </c>
      <c r="O192" s="8"/>
      <c r="P192" s="8"/>
      <c r="Q192" s="8"/>
      <c r="R192" s="8"/>
      <c r="S192" s="8"/>
      <c r="T192" s="8"/>
      <c r="U192" s="8"/>
      <c r="V192" s="8"/>
      <c r="W192" s="8"/>
      <c r="X192" s="8"/>
      <c r="Y192" s="8"/>
      <c r="Z192" s="8"/>
    </row>
    <row r="193">
      <c r="A193" s="8">
        <f>IFERROR(__xludf.DUMMYFUNCTION("""COMPUTED_VALUE"""),194.0)</f>
        <v>194</v>
      </c>
      <c r="B193" s="8" t="str">
        <f>IFERROR(__xludf.DUMMYFUNCTION("""COMPUTED_VALUE"""),"cashew")</f>
        <v>cashew</v>
      </c>
      <c r="C193" s="8" t="str">
        <f>IFERROR(__xludf.DUMMYFUNCTION("""COMPUTED_VALUE"""),"graft")</f>
        <v>graft</v>
      </c>
      <c r="D193" s="55" t="str">
        <f>IFERROR(__xludf.DUMMYFUNCTION("""COMPUTED_VALUE"""),"Anacardium occidentale")</f>
        <v>Anacardium occidentale</v>
      </c>
      <c r="E193" s="8" t="str">
        <f>IFERROR(__xludf.DUMMYFUNCTION("""COMPUTED_VALUE"""),"X4297 (Red)")</f>
        <v>X4297 (Red)</v>
      </c>
      <c r="F193" s="8" t="str">
        <f>IFERROR(__xludf.DUMMYFUNCTION("""COMPUTED_VALUE"""),"Cashew")</f>
        <v>Cashew</v>
      </c>
      <c r="G193" s="8" t="str">
        <f>IFERROR(__xludf.DUMMYFUNCTION("""COMPUTED_VALUE"""),"Anacardier")</f>
        <v>Anacardier</v>
      </c>
      <c r="H193" s="8" t="str">
        <f>IFERROR(__xludf.DUMMYFUNCTION("""COMPUTED_VALUE"""),"graft")</f>
        <v>graft</v>
      </c>
      <c r="I193" s="8" t="str">
        <f>IFERROR(__xludf.DUMMYFUNCTION("""COMPUTED_VALUE"""),"C194")</f>
        <v>C194</v>
      </c>
      <c r="J193" s="8" t="str">
        <f>IFERROR(__xludf.DUMMYFUNCTION("""COMPUTED_VALUE"""),"17N01")</f>
        <v>17N01</v>
      </c>
      <c r="K193" s="8"/>
      <c r="L193" s="8">
        <f>IFERROR(__xludf.DUMMYFUNCTION("""COMPUTED_VALUE"""),1.0)</f>
        <v>1</v>
      </c>
      <c r="M193" s="8">
        <f>IFERROR(__xludf.DUMMYFUNCTION("""COMPUTED_VALUE"""),0.0)</f>
        <v>0</v>
      </c>
      <c r="N193" s="8">
        <f>IFERROR(__xludf.DUMMYFUNCTION("""COMPUTED_VALUE"""),22.0)</f>
        <v>22</v>
      </c>
      <c r="O193" s="8"/>
      <c r="P193" s="8"/>
      <c r="Q193" s="8"/>
      <c r="R193" s="8"/>
      <c r="S193" s="8"/>
      <c r="T193" s="8"/>
      <c r="U193" s="8"/>
      <c r="V193" s="8"/>
      <c r="W193" s="8"/>
      <c r="X193" s="8"/>
      <c r="Y193" s="8"/>
      <c r="Z193" s="8"/>
    </row>
    <row r="194">
      <c r="A194" s="8">
        <f>IFERROR(__xludf.DUMMYFUNCTION("""COMPUTED_VALUE"""),195.0)</f>
        <v>195</v>
      </c>
      <c r="B194" s="8" t="str">
        <f>IFERROR(__xludf.DUMMYFUNCTION("""COMPUTED_VALUE"""),"cashew")</f>
        <v>cashew</v>
      </c>
      <c r="C194" s="8" t="str">
        <f>IFERROR(__xludf.DUMMYFUNCTION("""COMPUTED_VALUE"""),"graft")</f>
        <v>graft</v>
      </c>
      <c r="D194" s="55" t="str">
        <f>IFERROR(__xludf.DUMMYFUNCTION("""COMPUTED_VALUE"""),"Anacardium occidentale")</f>
        <v>Anacardium occidentale</v>
      </c>
      <c r="E194" s="8" t="str">
        <f>IFERROR(__xludf.DUMMYFUNCTION("""COMPUTED_VALUE"""),"X4297 (Red)")</f>
        <v>X4297 (Red)</v>
      </c>
      <c r="F194" s="8" t="str">
        <f>IFERROR(__xludf.DUMMYFUNCTION("""COMPUTED_VALUE"""),"Cashew")</f>
        <v>Cashew</v>
      </c>
      <c r="G194" s="8" t="str">
        <f>IFERROR(__xludf.DUMMYFUNCTION("""COMPUTED_VALUE"""),"Anacardier")</f>
        <v>Anacardier</v>
      </c>
      <c r="H194" s="8" t="str">
        <f>IFERROR(__xludf.DUMMYFUNCTION("""COMPUTED_VALUE"""),"graft")</f>
        <v>graft</v>
      </c>
      <c r="I194" s="8" t="str">
        <f>IFERROR(__xludf.DUMMYFUNCTION("""COMPUTED_VALUE"""),"C195")</f>
        <v>C195</v>
      </c>
      <c r="J194" s="8" t="str">
        <f>IFERROR(__xludf.DUMMYFUNCTION("""COMPUTED_VALUE"""),"17N02")</f>
        <v>17N02</v>
      </c>
      <c r="K194" s="8"/>
      <c r="L194" s="8">
        <f>IFERROR(__xludf.DUMMYFUNCTION("""COMPUTED_VALUE"""),1.0)</f>
        <v>1</v>
      </c>
      <c r="M194" s="8">
        <f>IFERROR(__xludf.DUMMYFUNCTION("""COMPUTED_VALUE"""),0.0)</f>
        <v>0</v>
      </c>
      <c r="N194" s="8">
        <f>IFERROR(__xludf.DUMMYFUNCTION("""COMPUTED_VALUE"""),22.0)</f>
        <v>22</v>
      </c>
      <c r="O194" s="8"/>
      <c r="P194" s="8"/>
      <c r="Q194" s="8"/>
      <c r="R194" s="8"/>
      <c r="S194" s="8"/>
      <c r="T194" s="8"/>
      <c r="U194" s="8"/>
      <c r="V194" s="8"/>
      <c r="W194" s="8"/>
      <c r="X194" s="8"/>
      <c r="Y194" s="8"/>
      <c r="Z194" s="8"/>
    </row>
    <row r="195">
      <c r="A195" s="8">
        <f>IFERROR(__xludf.DUMMYFUNCTION("""COMPUTED_VALUE"""),196.0)</f>
        <v>196</v>
      </c>
      <c r="B195" s="8" t="str">
        <f>IFERROR(__xludf.DUMMYFUNCTION("""COMPUTED_VALUE"""),"cashew")</f>
        <v>cashew</v>
      </c>
      <c r="C195" s="8" t="str">
        <f>IFERROR(__xludf.DUMMYFUNCTION("""COMPUTED_VALUE"""),"graft")</f>
        <v>graft</v>
      </c>
      <c r="D195" s="55" t="str">
        <f>IFERROR(__xludf.DUMMYFUNCTION("""COMPUTED_VALUE"""),"Anacardium occidentale")</f>
        <v>Anacardium occidentale</v>
      </c>
      <c r="E195" s="8" t="str">
        <f>IFERROR(__xludf.DUMMYFUNCTION("""COMPUTED_VALUE"""),"X4297 (Red)")</f>
        <v>X4297 (Red)</v>
      </c>
      <c r="F195" s="8" t="str">
        <f>IFERROR(__xludf.DUMMYFUNCTION("""COMPUTED_VALUE"""),"Cashew")</f>
        <v>Cashew</v>
      </c>
      <c r="G195" s="8" t="str">
        <f>IFERROR(__xludf.DUMMYFUNCTION("""COMPUTED_VALUE"""),"Anacardier")</f>
        <v>Anacardier</v>
      </c>
      <c r="H195" s="8" t="str">
        <f>IFERROR(__xludf.DUMMYFUNCTION("""COMPUTED_VALUE"""),"graft")</f>
        <v>graft</v>
      </c>
      <c r="I195" s="8" t="str">
        <f>IFERROR(__xludf.DUMMYFUNCTION("""COMPUTED_VALUE"""),"C196")</f>
        <v>C196</v>
      </c>
      <c r="J195" s="8" t="str">
        <f>IFERROR(__xludf.DUMMYFUNCTION("""COMPUTED_VALUE"""),"17N03")</f>
        <v>17N03</v>
      </c>
      <c r="K195" s="8"/>
      <c r="L195" s="8">
        <f>IFERROR(__xludf.DUMMYFUNCTION("""COMPUTED_VALUE"""),1.0)</f>
        <v>1</v>
      </c>
      <c r="M195" s="8">
        <f>IFERROR(__xludf.DUMMYFUNCTION("""COMPUTED_VALUE"""),0.0)</f>
        <v>0</v>
      </c>
      <c r="N195" s="8">
        <f>IFERROR(__xludf.DUMMYFUNCTION("""COMPUTED_VALUE"""),22.0)</f>
        <v>22</v>
      </c>
      <c r="O195" s="8"/>
      <c r="P195" s="8"/>
      <c r="Q195" s="8"/>
      <c r="R195" s="8"/>
      <c r="S195" s="8"/>
      <c r="T195" s="8"/>
      <c r="U195" s="8"/>
      <c r="V195" s="8"/>
      <c r="W195" s="8"/>
      <c r="X195" s="8"/>
      <c r="Y195" s="8"/>
      <c r="Z195" s="8"/>
    </row>
    <row r="196">
      <c r="A196" s="8">
        <f>IFERROR(__xludf.DUMMYFUNCTION("""COMPUTED_VALUE"""),197.0)</f>
        <v>197</v>
      </c>
      <c r="B196" s="8" t="str">
        <f>IFERROR(__xludf.DUMMYFUNCTION("""COMPUTED_VALUE"""),"cashew")</f>
        <v>cashew</v>
      </c>
      <c r="C196" s="8" t="str">
        <f>IFERROR(__xludf.DUMMYFUNCTION("""COMPUTED_VALUE"""),"graft")</f>
        <v>graft</v>
      </c>
      <c r="D196" s="55" t="str">
        <f>IFERROR(__xludf.DUMMYFUNCTION("""COMPUTED_VALUE"""),"Anacardium occidentale")</f>
        <v>Anacardium occidentale</v>
      </c>
      <c r="E196" s="8" t="str">
        <f>IFERROR(__xludf.DUMMYFUNCTION("""COMPUTED_VALUE"""),"X4297 (Red)")</f>
        <v>X4297 (Red)</v>
      </c>
      <c r="F196" s="8" t="str">
        <f>IFERROR(__xludf.DUMMYFUNCTION("""COMPUTED_VALUE"""),"Cashew")</f>
        <v>Cashew</v>
      </c>
      <c r="G196" s="8" t="str">
        <f>IFERROR(__xludf.DUMMYFUNCTION("""COMPUTED_VALUE"""),"Anacardier")</f>
        <v>Anacardier</v>
      </c>
      <c r="H196" s="8" t="str">
        <f>IFERROR(__xludf.DUMMYFUNCTION("""COMPUTED_VALUE"""),"graft")</f>
        <v>graft</v>
      </c>
      <c r="I196" s="8" t="str">
        <f>IFERROR(__xludf.DUMMYFUNCTION("""COMPUTED_VALUE"""),"C197")</f>
        <v>C197</v>
      </c>
      <c r="J196" s="8" t="str">
        <f>IFERROR(__xludf.DUMMYFUNCTION("""COMPUTED_VALUE"""),"17N04")</f>
        <v>17N04</v>
      </c>
      <c r="K196" s="8"/>
      <c r="L196" s="8">
        <f>IFERROR(__xludf.DUMMYFUNCTION("""COMPUTED_VALUE"""),1.0)</f>
        <v>1</v>
      </c>
      <c r="M196" s="8">
        <f>IFERROR(__xludf.DUMMYFUNCTION("""COMPUTED_VALUE"""),0.0)</f>
        <v>0</v>
      </c>
      <c r="N196" s="8">
        <f>IFERROR(__xludf.DUMMYFUNCTION("""COMPUTED_VALUE"""),22.0)</f>
        <v>22</v>
      </c>
      <c r="O196" s="8"/>
      <c r="P196" s="8"/>
      <c r="Q196" s="8"/>
      <c r="R196" s="8"/>
      <c r="S196" s="8"/>
      <c r="T196" s="8"/>
      <c r="U196" s="8"/>
      <c r="V196" s="8"/>
      <c r="W196" s="8"/>
      <c r="X196" s="8"/>
      <c r="Y196" s="8"/>
      <c r="Z196" s="8"/>
    </row>
    <row r="197">
      <c r="A197" s="8">
        <f>IFERROR(__xludf.DUMMYFUNCTION("""COMPUTED_VALUE"""),198.0)</f>
        <v>198</v>
      </c>
      <c r="B197" s="8" t="str">
        <f>IFERROR(__xludf.DUMMYFUNCTION("""COMPUTED_VALUE"""),"cashew")</f>
        <v>cashew</v>
      </c>
      <c r="C197" s="8" t="str">
        <f>IFERROR(__xludf.DUMMYFUNCTION("""COMPUTED_VALUE"""),"graft")</f>
        <v>graft</v>
      </c>
      <c r="D197" s="55" t="str">
        <f>IFERROR(__xludf.DUMMYFUNCTION("""COMPUTED_VALUE"""),"Anacardium occidentale")</f>
        <v>Anacardium occidentale</v>
      </c>
      <c r="E197" s="8" t="str">
        <f>IFERROR(__xludf.DUMMYFUNCTION("""COMPUTED_VALUE"""),"X4297 (Red)")</f>
        <v>X4297 (Red)</v>
      </c>
      <c r="F197" s="8" t="str">
        <f>IFERROR(__xludf.DUMMYFUNCTION("""COMPUTED_VALUE"""),"Cashew")</f>
        <v>Cashew</v>
      </c>
      <c r="G197" s="8" t="str">
        <f>IFERROR(__xludf.DUMMYFUNCTION("""COMPUTED_VALUE"""),"Anacardier")</f>
        <v>Anacardier</v>
      </c>
      <c r="H197" s="8" t="str">
        <f>IFERROR(__xludf.DUMMYFUNCTION("""COMPUTED_VALUE"""),"graft")</f>
        <v>graft</v>
      </c>
      <c r="I197" s="8" t="str">
        <f>IFERROR(__xludf.DUMMYFUNCTION("""COMPUTED_VALUE"""),"C198")</f>
        <v>C198</v>
      </c>
      <c r="J197" s="8" t="str">
        <f>IFERROR(__xludf.DUMMYFUNCTION("""COMPUTED_VALUE"""),"17N05")</f>
        <v>17N05</v>
      </c>
      <c r="K197" s="8"/>
      <c r="L197" s="8">
        <f>IFERROR(__xludf.DUMMYFUNCTION("""COMPUTED_VALUE"""),1.0)</f>
        <v>1</v>
      </c>
      <c r="M197" s="8">
        <f>IFERROR(__xludf.DUMMYFUNCTION("""COMPUTED_VALUE"""),0.0)</f>
        <v>0</v>
      </c>
      <c r="N197" s="8">
        <f>IFERROR(__xludf.DUMMYFUNCTION("""COMPUTED_VALUE"""),22.0)</f>
        <v>22</v>
      </c>
      <c r="O197" s="8"/>
      <c r="P197" s="8"/>
      <c r="Q197" s="8"/>
      <c r="R197" s="8"/>
      <c r="S197" s="8"/>
      <c r="T197" s="8"/>
      <c r="U197" s="8"/>
      <c r="V197" s="8"/>
      <c r="W197" s="8"/>
      <c r="X197" s="8"/>
      <c r="Y197" s="8"/>
      <c r="Z197" s="8"/>
    </row>
    <row r="198">
      <c r="A198" s="8">
        <f>IFERROR(__xludf.DUMMYFUNCTION("""COMPUTED_VALUE"""),199.0)</f>
        <v>199</v>
      </c>
      <c r="B198" s="8" t="str">
        <f>IFERROR(__xludf.DUMMYFUNCTION("""COMPUTED_VALUE"""),"cashew")</f>
        <v>cashew</v>
      </c>
      <c r="C198" s="8" t="str">
        <f>IFERROR(__xludf.DUMMYFUNCTION("""COMPUTED_VALUE"""),"graft")</f>
        <v>graft</v>
      </c>
      <c r="D198" s="55" t="str">
        <f>IFERROR(__xludf.DUMMYFUNCTION("""COMPUTED_VALUE"""),"Anacardium occidentale")</f>
        <v>Anacardium occidentale</v>
      </c>
      <c r="E198" s="8" t="str">
        <f>IFERROR(__xludf.DUMMYFUNCTION("""COMPUTED_VALUE"""),"X4297 (Red)")</f>
        <v>X4297 (Red)</v>
      </c>
      <c r="F198" s="8" t="str">
        <f>IFERROR(__xludf.DUMMYFUNCTION("""COMPUTED_VALUE"""),"Cashew")</f>
        <v>Cashew</v>
      </c>
      <c r="G198" s="8" t="str">
        <f>IFERROR(__xludf.DUMMYFUNCTION("""COMPUTED_VALUE"""),"Anacardier")</f>
        <v>Anacardier</v>
      </c>
      <c r="H198" s="8" t="str">
        <f>IFERROR(__xludf.DUMMYFUNCTION("""COMPUTED_VALUE"""),"graft")</f>
        <v>graft</v>
      </c>
      <c r="I198" s="8" t="str">
        <f>IFERROR(__xludf.DUMMYFUNCTION("""COMPUTED_VALUE"""),"C199")</f>
        <v>C199</v>
      </c>
      <c r="J198" s="8" t="str">
        <f>IFERROR(__xludf.DUMMYFUNCTION("""COMPUTED_VALUE"""),"17N06")</f>
        <v>17N06</v>
      </c>
      <c r="K198" s="8"/>
      <c r="L198" s="8">
        <f>IFERROR(__xludf.DUMMYFUNCTION("""COMPUTED_VALUE"""),1.0)</f>
        <v>1</v>
      </c>
      <c r="M198" s="8">
        <f>IFERROR(__xludf.DUMMYFUNCTION("""COMPUTED_VALUE"""),0.0)</f>
        <v>0</v>
      </c>
      <c r="N198" s="8">
        <f>IFERROR(__xludf.DUMMYFUNCTION("""COMPUTED_VALUE"""),22.0)</f>
        <v>22</v>
      </c>
      <c r="O198" s="8"/>
      <c r="P198" s="8"/>
      <c r="Q198" s="8"/>
      <c r="R198" s="8"/>
      <c r="S198" s="8"/>
      <c r="T198" s="8"/>
      <c r="U198" s="8"/>
      <c r="V198" s="8"/>
      <c r="W198" s="8"/>
      <c r="X198" s="8"/>
      <c r="Y198" s="8"/>
      <c r="Z198" s="8"/>
    </row>
    <row r="199">
      <c r="A199" s="8">
        <f>IFERROR(__xludf.DUMMYFUNCTION("""COMPUTED_VALUE"""),200.0)</f>
        <v>200</v>
      </c>
      <c r="B199" s="8" t="str">
        <f>IFERROR(__xludf.DUMMYFUNCTION("""COMPUTED_VALUE"""),"cashew")</f>
        <v>cashew</v>
      </c>
      <c r="C199" s="8" t="str">
        <f>IFERROR(__xludf.DUMMYFUNCTION("""COMPUTED_VALUE"""),"graft")</f>
        <v>graft</v>
      </c>
      <c r="D199" s="55" t="str">
        <f>IFERROR(__xludf.DUMMYFUNCTION("""COMPUTED_VALUE"""),"Anacardium occidentale")</f>
        <v>Anacardium occidentale</v>
      </c>
      <c r="E199" s="8" t="str">
        <f>IFERROR(__xludf.DUMMYFUNCTION("""COMPUTED_VALUE"""),"Z330 (Orange)")</f>
        <v>Z330 (Orange)</v>
      </c>
      <c r="F199" s="8" t="str">
        <f>IFERROR(__xludf.DUMMYFUNCTION("""COMPUTED_VALUE"""),"Cashew")</f>
        <v>Cashew</v>
      </c>
      <c r="G199" s="8" t="str">
        <f>IFERROR(__xludf.DUMMYFUNCTION("""COMPUTED_VALUE"""),"Anacardier")</f>
        <v>Anacardier</v>
      </c>
      <c r="H199" s="8" t="str">
        <f>IFERROR(__xludf.DUMMYFUNCTION("""COMPUTED_VALUE"""),"graft")</f>
        <v>graft</v>
      </c>
      <c r="I199" s="8" t="str">
        <f>IFERROR(__xludf.DUMMYFUNCTION("""COMPUTED_VALUE"""),"C200")</f>
        <v>C200</v>
      </c>
      <c r="J199" s="8" t="str">
        <f>IFERROR(__xludf.DUMMYFUNCTION("""COMPUTED_VALUE"""),"17N07")</f>
        <v>17N07</v>
      </c>
      <c r="K199" s="8"/>
      <c r="L199" s="8">
        <f>IFERROR(__xludf.DUMMYFUNCTION("""COMPUTED_VALUE"""),1.0)</f>
        <v>1</v>
      </c>
      <c r="M199" s="8">
        <f>IFERROR(__xludf.DUMMYFUNCTION("""COMPUTED_VALUE"""),0.0)</f>
        <v>0</v>
      </c>
      <c r="N199" s="8">
        <f>IFERROR(__xludf.DUMMYFUNCTION("""COMPUTED_VALUE"""),23.0)</f>
        <v>23</v>
      </c>
      <c r="O199" s="8"/>
      <c r="P199" s="8"/>
      <c r="Q199" s="8"/>
      <c r="R199" s="8"/>
      <c r="S199" s="8"/>
      <c r="T199" s="8"/>
      <c r="U199" s="8"/>
      <c r="V199" s="8"/>
      <c r="W199" s="8"/>
      <c r="X199" s="8"/>
      <c r="Y199" s="8"/>
      <c r="Z199" s="8"/>
    </row>
    <row r="200">
      <c r="A200" s="8">
        <f>IFERROR(__xludf.DUMMYFUNCTION("""COMPUTED_VALUE"""),201.0)</f>
        <v>201</v>
      </c>
      <c r="B200" s="8" t="str">
        <f>IFERROR(__xludf.DUMMYFUNCTION("""COMPUTED_VALUE"""),"cashew")</f>
        <v>cashew</v>
      </c>
      <c r="C200" s="8" t="str">
        <f>IFERROR(__xludf.DUMMYFUNCTION("""COMPUTED_VALUE"""),"graft")</f>
        <v>graft</v>
      </c>
      <c r="D200" s="55" t="str">
        <f>IFERROR(__xludf.DUMMYFUNCTION("""COMPUTED_VALUE"""),"Anacardium occidentale")</f>
        <v>Anacardium occidentale</v>
      </c>
      <c r="E200" s="8" t="str">
        <f>IFERROR(__xludf.DUMMYFUNCTION("""COMPUTED_VALUE"""),"Z330 (Orange)")</f>
        <v>Z330 (Orange)</v>
      </c>
      <c r="F200" s="8" t="str">
        <f>IFERROR(__xludf.DUMMYFUNCTION("""COMPUTED_VALUE"""),"Cashew")</f>
        <v>Cashew</v>
      </c>
      <c r="G200" s="8" t="str">
        <f>IFERROR(__xludf.DUMMYFUNCTION("""COMPUTED_VALUE"""),"Anacardier")</f>
        <v>Anacardier</v>
      </c>
      <c r="H200" s="8" t="str">
        <f>IFERROR(__xludf.DUMMYFUNCTION("""COMPUTED_VALUE"""),"graft")</f>
        <v>graft</v>
      </c>
      <c r="I200" s="8" t="str">
        <f>IFERROR(__xludf.DUMMYFUNCTION("""COMPUTED_VALUE"""),"C201")</f>
        <v>C201</v>
      </c>
      <c r="J200" s="8" t="str">
        <f>IFERROR(__xludf.DUMMYFUNCTION("""COMPUTED_VALUE"""),"17N08")</f>
        <v>17N08</v>
      </c>
      <c r="K200" s="8"/>
      <c r="L200" s="8">
        <f>IFERROR(__xludf.DUMMYFUNCTION("""COMPUTED_VALUE"""),1.0)</f>
        <v>1</v>
      </c>
      <c r="M200" s="8">
        <f>IFERROR(__xludf.DUMMYFUNCTION("""COMPUTED_VALUE"""),0.0)</f>
        <v>0</v>
      </c>
      <c r="N200" s="8">
        <f>IFERROR(__xludf.DUMMYFUNCTION("""COMPUTED_VALUE"""),23.0)</f>
        <v>23</v>
      </c>
      <c r="O200" s="8"/>
      <c r="P200" s="8"/>
      <c r="Q200" s="8"/>
      <c r="R200" s="8"/>
      <c r="S200" s="8"/>
      <c r="T200" s="8"/>
      <c r="U200" s="8"/>
      <c r="V200" s="8"/>
      <c r="W200" s="8"/>
      <c r="X200" s="8"/>
      <c r="Y200" s="8"/>
      <c r="Z200" s="8"/>
    </row>
    <row r="201">
      <c r="A201" s="8">
        <f>IFERROR(__xludf.DUMMYFUNCTION("""COMPUTED_VALUE"""),202.0)</f>
        <v>202</v>
      </c>
      <c r="B201" s="8" t="str">
        <f>IFERROR(__xludf.DUMMYFUNCTION("""COMPUTED_VALUE"""),"cashew")</f>
        <v>cashew</v>
      </c>
      <c r="C201" s="8" t="str">
        <f>IFERROR(__xludf.DUMMYFUNCTION("""COMPUTED_VALUE"""),"graft")</f>
        <v>graft</v>
      </c>
      <c r="D201" s="55" t="str">
        <f>IFERROR(__xludf.DUMMYFUNCTION("""COMPUTED_VALUE"""),"Anacardium occidentale")</f>
        <v>Anacardium occidentale</v>
      </c>
      <c r="E201" s="8" t="str">
        <f>IFERROR(__xludf.DUMMYFUNCTION("""COMPUTED_VALUE"""),"Z330 (Orange)")</f>
        <v>Z330 (Orange)</v>
      </c>
      <c r="F201" s="8" t="str">
        <f>IFERROR(__xludf.DUMMYFUNCTION("""COMPUTED_VALUE"""),"Cashew")</f>
        <v>Cashew</v>
      </c>
      <c r="G201" s="8" t="str">
        <f>IFERROR(__xludf.DUMMYFUNCTION("""COMPUTED_VALUE"""),"Anacardier")</f>
        <v>Anacardier</v>
      </c>
      <c r="H201" s="8" t="str">
        <f>IFERROR(__xludf.DUMMYFUNCTION("""COMPUTED_VALUE"""),"graft")</f>
        <v>graft</v>
      </c>
      <c r="I201" s="8" t="str">
        <f>IFERROR(__xludf.DUMMYFUNCTION("""COMPUTED_VALUE"""),"C202")</f>
        <v>C202</v>
      </c>
      <c r="J201" s="8" t="str">
        <f>IFERROR(__xludf.DUMMYFUNCTION("""COMPUTED_VALUE"""),"17N09")</f>
        <v>17N09</v>
      </c>
      <c r="K201" s="8"/>
      <c r="L201" s="8">
        <f>IFERROR(__xludf.DUMMYFUNCTION("""COMPUTED_VALUE"""),1.0)</f>
        <v>1</v>
      </c>
      <c r="M201" s="8">
        <f>IFERROR(__xludf.DUMMYFUNCTION("""COMPUTED_VALUE"""),0.0)</f>
        <v>0</v>
      </c>
      <c r="N201" s="8">
        <f>IFERROR(__xludf.DUMMYFUNCTION("""COMPUTED_VALUE"""),23.0)</f>
        <v>23</v>
      </c>
      <c r="O201" s="8"/>
      <c r="P201" s="8"/>
      <c r="Q201" s="8"/>
      <c r="R201" s="8"/>
      <c r="S201" s="8"/>
      <c r="T201" s="8"/>
      <c r="U201" s="8"/>
      <c r="V201" s="8"/>
      <c r="W201" s="8"/>
      <c r="X201" s="8"/>
      <c r="Y201" s="8"/>
      <c r="Z201" s="8"/>
    </row>
    <row r="202">
      <c r="A202" s="8">
        <f>IFERROR(__xludf.DUMMYFUNCTION("""COMPUTED_VALUE"""),203.0)</f>
        <v>203</v>
      </c>
      <c r="B202" s="8" t="str">
        <f>IFERROR(__xludf.DUMMYFUNCTION("""COMPUTED_VALUE"""),"cashew")</f>
        <v>cashew</v>
      </c>
      <c r="C202" s="8" t="str">
        <f>IFERROR(__xludf.DUMMYFUNCTION("""COMPUTED_VALUE"""),"graft")</f>
        <v>graft</v>
      </c>
      <c r="D202" s="55" t="str">
        <f>IFERROR(__xludf.DUMMYFUNCTION("""COMPUTED_VALUE"""),"Anacardium occidentale")</f>
        <v>Anacardium occidentale</v>
      </c>
      <c r="E202" s="8" t="str">
        <f>IFERROR(__xludf.DUMMYFUNCTION("""COMPUTED_VALUE"""),"Z330 (Orange)")</f>
        <v>Z330 (Orange)</v>
      </c>
      <c r="F202" s="8" t="str">
        <f>IFERROR(__xludf.DUMMYFUNCTION("""COMPUTED_VALUE"""),"Cashew")</f>
        <v>Cashew</v>
      </c>
      <c r="G202" s="8" t="str">
        <f>IFERROR(__xludf.DUMMYFUNCTION("""COMPUTED_VALUE"""),"Anacardier")</f>
        <v>Anacardier</v>
      </c>
      <c r="H202" s="8" t="str">
        <f>IFERROR(__xludf.DUMMYFUNCTION("""COMPUTED_VALUE"""),"graft")</f>
        <v>graft</v>
      </c>
      <c r="I202" s="8" t="str">
        <f>IFERROR(__xludf.DUMMYFUNCTION("""COMPUTED_VALUE"""),"C203")</f>
        <v>C203</v>
      </c>
      <c r="J202" s="8" t="str">
        <f>IFERROR(__xludf.DUMMYFUNCTION("""COMPUTED_VALUE"""),"17N10")</f>
        <v>17N10</v>
      </c>
      <c r="K202" s="8"/>
      <c r="L202" s="8">
        <f>IFERROR(__xludf.DUMMYFUNCTION("""COMPUTED_VALUE"""),1.0)</f>
        <v>1</v>
      </c>
      <c r="M202" s="8">
        <f>IFERROR(__xludf.DUMMYFUNCTION("""COMPUTED_VALUE"""),0.0)</f>
        <v>0</v>
      </c>
      <c r="N202" s="8">
        <f>IFERROR(__xludf.DUMMYFUNCTION("""COMPUTED_VALUE"""),23.0)</f>
        <v>23</v>
      </c>
      <c r="O202" s="8"/>
      <c r="P202" s="8"/>
      <c r="Q202" s="8"/>
      <c r="R202" s="8"/>
      <c r="S202" s="8"/>
      <c r="T202" s="8"/>
      <c r="U202" s="8"/>
      <c r="V202" s="8"/>
      <c r="W202" s="8"/>
      <c r="X202" s="8"/>
      <c r="Y202" s="8"/>
      <c r="Z202" s="8"/>
    </row>
    <row r="203">
      <c r="A203" s="8">
        <f>IFERROR(__xludf.DUMMYFUNCTION("""COMPUTED_VALUE"""),204.0)</f>
        <v>204</v>
      </c>
      <c r="B203" s="8" t="str">
        <f>IFERROR(__xludf.DUMMYFUNCTION("""COMPUTED_VALUE"""),"cashew")</f>
        <v>cashew</v>
      </c>
      <c r="C203" s="8" t="str">
        <f>IFERROR(__xludf.DUMMYFUNCTION("""COMPUTED_VALUE"""),"graft")</f>
        <v>graft</v>
      </c>
      <c r="D203" s="55" t="str">
        <f>IFERROR(__xludf.DUMMYFUNCTION("""COMPUTED_VALUE"""),"Anacardium occidentale")</f>
        <v>Anacardium occidentale</v>
      </c>
      <c r="E203" s="8" t="str">
        <f>IFERROR(__xludf.DUMMYFUNCTION("""COMPUTED_VALUE"""),"Z330 (Orange)")</f>
        <v>Z330 (Orange)</v>
      </c>
      <c r="F203" s="8" t="str">
        <f>IFERROR(__xludf.DUMMYFUNCTION("""COMPUTED_VALUE"""),"Cashew")</f>
        <v>Cashew</v>
      </c>
      <c r="G203" s="8" t="str">
        <f>IFERROR(__xludf.DUMMYFUNCTION("""COMPUTED_VALUE"""),"Anacardier")</f>
        <v>Anacardier</v>
      </c>
      <c r="H203" s="8" t="str">
        <f>IFERROR(__xludf.DUMMYFUNCTION("""COMPUTED_VALUE"""),"graft")</f>
        <v>graft</v>
      </c>
      <c r="I203" s="8" t="str">
        <f>IFERROR(__xludf.DUMMYFUNCTION("""COMPUTED_VALUE"""),"C204")</f>
        <v>C204</v>
      </c>
      <c r="J203" s="8" t="str">
        <f>IFERROR(__xludf.DUMMYFUNCTION("""COMPUTED_VALUE"""),"17N11")</f>
        <v>17N11</v>
      </c>
      <c r="K203" s="8"/>
      <c r="L203" s="8">
        <f>IFERROR(__xludf.DUMMYFUNCTION("""COMPUTED_VALUE"""),1.0)</f>
        <v>1</v>
      </c>
      <c r="M203" s="8">
        <f>IFERROR(__xludf.DUMMYFUNCTION("""COMPUTED_VALUE"""),0.0)</f>
        <v>0</v>
      </c>
      <c r="N203" s="8">
        <f>IFERROR(__xludf.DUMMYFUNCTION("""COMPUTED_VALUE"""),23.0)</f>
        <v>23</v>
      </c>
      <c r="O203" s="8"/>
      <c r="P203" s="8"/>
      <c r="Q203" s="8"/>
      <c r="R203" s="8"/>
      <c r="S203" s="8"/>
      <c r="T203" s="8"/>
      <c r="U203" s="8"/>
      <c r="V203" s="8"/>
      <c r="W203" s="8"/>
      <c r="X203" s="8"/>
      <c r="Y203" s="8"/>
      <c r="Z203" s="8"/>
    </row>
    <row r="204">
      <c r="A204" s="8">
        <f>IFERROR(__xludf.DUMMYFUNCTION("""COMPUTED_VALUE"""),205.0)</f>
        <v>205</v>
      </c>
      <c r="B204" s="8" t="str">
        <f>IFERROR(__xludf.DUMMYFUNCTION("""COMPUTED_VALUE"""),"cashew")</f>
        <v>cashew</v>
      </c>
      <c r="C204" s="8" t="str">
        <f>IFERROR(__xludf.DUMMYFUNCTION("""COMPUTED_VALUE"""),"graft")</f>
        <v>graft</v>
      </c>
      <c r="D204" s="55" t="str">
        <f>IFERROR(__xludf.DUMMYFUNCTION("""COMPUTED_VALUE"""),"Anacardium occidentale")</f>
        <v>Anacardium occidentale</v>
      </c>
      <c r="E204" s="8" t="str">
        <f>IFERROR(__xludf.DUMMYFUNCTION("""COMPUTED_VALUE"""),"Z330 (Orange)")</f>
        <v>Z330 (Orange)</v>
      </c>
      <c r="F204" s="8" t="str">
        <f>IFERROR(__xludf.DUMMYFUNCTION("""COMPUTED_VALUE"""),"Cashew")</f>
        <v>Cashew</v>
      </c>
      <c r="G204" s="8" t="str">
        <f>IFERROR(__xludf.DUMMYFUNCTION("""COMPUTED_VALUE"""),"Anacardier")</f>
        <v>Anacardier</v>
      </c>
      <c r="H204" s="8" t="str">
        <f>IFERROR(__xludf.DUMMYFUNCTION("""COMPUTED_VALUE"""),"graft")</f>
        <v>graft</v>
      </c>
      <c r="I204" s="8" t="str">
        <f>IFERROR(__xludf.DUMMYFUNCTION("""COMPUTED_VALUE"""),"C205")</f>
        <v>C205</v>
      </c>
      <c r="J204" s="8" t="str">
        <f>IFERROR(__xludf.DUMMYFUNCTION("""COMPUTED_VALUE"""),"17N12")</f>
        <v>17N12</v>
      </c>
      <c r="K204" s="8"/>
      <c r="L204" s="8">
        <f>IFERROR(__xludf.DUMMYFUNCTION("""COMPUTED_VALUE"""),1.0)</f>
        <v>1</v>
      </c>
      <c r="M204" s="8">
        <f>IFERROR(__xludf.DUMMYFUNCTION("""COMPUTED_VALUE"""),0.0)</f>
        <v>0</v>
      </c>
      <c r="N204" s="8">
        <f>IFERROR(__xludf.DUMMYFUNCTION("""COMPUTED_VALUE"""),23.0)</f>
        <v>23</v>
      </c>
      <c r="O204" s="8"/>
      <c r="P204" s="8"/>
      <c r="Q204" s="8"/>
      <c r="R204" s="8"/>
      <c r="S204" s="8"/>
      <c r="T204" s="8"/>
      <c r="U204" s="8"/>
      <c r="V204" s="8"/>
      <c r="W204" s="8"/>
      <c r="X204" s="8"/>
      <c r="Y204" s="8"/>
      <c r="Z204" s="8"/>
    </row>
    <row r="205">
      <c r="A205" s="8">
        <f>IFERROR(__xludf.DUMMYFUNCTION("""COMPUTED_VALUE"""),206.0)</f>
        <v>206</v>
      </c>
      <c r="B205" s="8" t="str">
        <f>IFERROR(__xludf.DUMMYFUNCTION("""COMPUTED_VALUE"""),"cashew")</f>
        <v>cashew</v>
      </c>
      <c r="C205" s="8" t="str">
        <f>IFERROR(__xludf.DUMMYFUNCTION("""COMPUTED_VALUE"""),"graft")</f>
        <v>graft</v>
      </c>
      <c r="D205" s="55" t="str">
        <f>IFERROR(__xludf.DUMMYFUNCTION("""COMPUTED_VALUE"""),"Anacardium occidentale")</f>
        <v>Anacardium occidentale</v>
      </c>
      <c r="E205" s="8" t="str">
        <f>IFERROR(__xludf.DUMMYFUNCTION("""COMPUTED_VALUE"""),"Z330 (Orange)")</f>
        <v>Z330 (Orange)</v>
      </c>
      <c r="F205" s="8" t="str">
        <f>IFERROR(__xludf.DUMMYFUNCTION("""COMPUTED_VALUE"""),"Cashew")</f>
        <v>Cashew</v>
      </c>
      <c r="G205" s="8" t="str">
        <f>IFERROR(__xludf.DUMMYFUNCTION("""COMPUTED_VALUE"""),"Anacardier")</f>
        <v>Anacardier</v>
      </c>
      <c r="H205" s="8" t="str">
        <f>IFERROR(__xludf.DUMMYFUNCTION("""COMPUTED_VALUE"""),"graft")</f>
        <v>graft</v>
      </c>
      <c r="I205" s="8" t="str">
        <f>IFERROR(__xludf.DUMMYFUNCTION("""COMPUTED_VALUE"""),"C206")</f>
        <v>C206</v>
      </c>
      <c r="J205" s="8" t="str">
        <f>IFERROR(__xludf.DUMMYFUNCTION("""COMPUTED_VALUE"""),"18N01")</f>
        <v>18N01</v>
      </c>
      <c r="K205" s="8"/>
      <c r="L205" s="8">
        <f>IFERROR(__xludf.DUMMYFUNCTION("""COMPUTED_VALUE"""),1.0)</f>
        <v>1</v>
      </c>
      <c r="M205" s="8">
        <f>IFERROR(__xludf.DUMMYFUNCTION("""COMPUTED_VALUE"""),0.0)</f>
        <v>0</v>
      </c>
      <c r="N205" s="8">
        <f>IFERROR(__xludf.DUMMYFUNCTION("""COMPUTED_VALUE"""),23.0)</f>
        <v>23</v>
      </c>
      <c r="O205" s="8"/>
      <c r="P205" s="8"/>
      <c r="Q205" s="8"/>
      <c r="R205" s="8"/>
      <c r="S205" s="8"/>
      <c r="T205" s="8"/>
      <c r="U205" s="8"/>
      <c r="V205" s="8"/>
      <c r="W205" s="8"/>
      <c r="X205" s="8"/>
      <c r="Y205" s="8"/>
      <c r="Z205" s="8"/>
    </row>
    <row r="206">
      <c r="A206" s="8">
        <f>IFERROR(__xludf.DUMMYFUNCTION("""COMPUTED_VALUE"""),207.0)</f>
        <v>207</v>
      </c>
      <c r="B206" s="8" t="str">
        <f>IFERROR(__xludf.DUMMYFUNCTION("""COMPUTED_VALUE"""),"cashew")</f>
        <v>cashew</v>
      </c>
      <c r="C206" s="8" t="str">
        <f>IFERROR(__xludf.DUMMYFUNCTION("""COMPUTED_VALUE"""),"graft")</f>
        <v>graft</v>
      </c>
      <c r="D206" s="55" t="str">
        <f>IFERROR(__xludf.DUMMYFUNCTION("""COMPUTED_VALUE"""),"Anacardium occidentale")</f>
        <v>Anacardium occidentale</v>
      </c>
      <c r="E206" s="8" t="str">
        <f>IFERROR(__xludf.DUMMYFUNCTION("""COMPUTED_VALUE"""),"Z330 (Orange)")</f>
        <v>Z330 (Orange)</v>
      </c>
      <c r="F206" s="8" t="str">
        <f>IFERROR(__xludf.DUMMYFUNCTION("""COMPUTED_VALUE"""),"Cashew")</f>
        <v>Cashew</v>
      </c>
      <c r="G206" s="8" t="str">
        <f>IFERROR(__xludf.DUMMYFUNCTION("""COMPUTED_VALUE"""),"Anacardier")</f>
        <v>Anacardier</v>
      </c>
      <c r="H206" s="8" t="str">
        <f>IFERROR(__xludf.DUMMYFUNCTION("""COMPUTED_VALUE"""),"graft")</f>
        <v>graft</v>
      </c>
      <c r="I206" s="8" t="str">
        <f>IFERROR(__xludf.DUMMYFUNCTION("""COMPUTED_VALUE"""),"C207")</f>
        <v>C207</v>
      </c>
      <c r="J206" s="8" t="str">
        <f>IFERROR(__xludf.DUMMYFUNCTION("""COMPUTED_VALUE"""),"18N02")</f>
        <v>18N02</v>
      </c>
      <c r="K206" s="8"/>
      <c r="L206" s="8">
        <f>IFERROR(__xludf.DUMMYFUNCTION("""COMPUTED_VALUE"""),1.0)</f>
        <v>1</v>
      </c>
      <c r="M206" s="8">
        <f>IFERROR(__xludf.DUMMYFUNCTION("""COMPUTED_VALUE"""),0.0)</f>
        <v>0</v>
      </c>
      <c r="N206" s="8">
        <f>IFERROR(__xludf.DUMMYFUNCTION("""COMPUTED_VALUE"""),23.0)</f>
        <v>23</v>
      </c>
      <c r="O206" s="8"/>
      <c r="P206" s="8"/>
      <c r="Q206" s="8"/>
      <c r="R206" s="8"/>
      <c r="S206" s="8"/>
      <c r="T206" s="8"/>
      <c r="U206" s="8"/>
      <c r="V206" s="8"/>
      <c r="W206" s="8"/>
      <c r="X206" s="8"/>
      <c r="Y206" s="8"/>
      <c r="Z206" s="8"/>
    </row>
    <row r="207">
      <c r="A207" s="8">
        <f>IFERROR(__xludf.DUMMYFUNCTION("""COMPUTED_VALUE"""),208.0)</f>
        <v>208</v>
      </c>
      <c r="B207" s="8" t="str">
        <f>IFERROR(__xludf.DUMMYFUNCTION("""COMPUTED_VALUE"""),"cashew")</f>
        <v>cashew</v>
      </c>
      <c r="C207" s="8" t="str">
        <f>IFERROR(__xludf.DUMMYFUNCTION("""COMPUTED_VALUE"""),"graft")</f>
        <v>graft</v>
      </c>
      <c r="D207" s="55" t="str">
        <f>IFERROR(__xludf.DUMMYFUNCTION("""COMPUTED_VALUE"""),"Anacardium occidentale")</f>
        <v>Anacardium occidentale</v>
      </c>
      <c r="E207" s="8" t="str">
        <f>IFERROR(__xludf.DUMMYFUNCTION("""COMPUTED_VALUE"""),"Z330 (Orange)")</f>
        <v>Z330 (Orange)</v>
      </c>
      <c r="F207" s="8" t="str">
        <f>IFERROR(__xludf.DUMMYFUNCTION("""COMPUTED_VALUE"""),"Cashew")</f>
        <v>Cashew</v>
      </c>
      <c r="G207" s="8" t="str">
        <f>IFERROR(__xludf.DUMMYFUNCTION("""COMPUTED_VALUE"""),"Anacardier")</f>
        <v>Anacardier</v>
      </c>
      <c r="H207" s="8" t="str">
        <f>IFERROR(__xludf.DUMMYFUNCTION("""COMPUTED_VALUE"""),"graft")</f>
        <v>graft</v>
      </c>
      <c r="I207" s="8" t="str">
        <f>IFERROR(__xludf.DUMMYFUNCTION("""COMPUTED_VALUE"""),"C208")</f>
        <v>C208</v>
      </c>
      <c r="J207" s="8" t="str">
        <f>IFERROR(__xludf.DUMMYFUNCTION("""COMPUTED_VALUE"""),"18N03")</f>
        <v>18N03</v>
      </c>
      <c r="K207" s="8"/>
      <c r="L207" s="8">
        <f>IFERROR(__xludf.DUMMYFUNCTION("""COMPUTED_VALUE"""),1.0)</f>
        <v>1</v>
      </c>
      <c r="M207" s="8">
        <f>IFERROR(__xludf.DUMMYFUNCTION("""COMPUTED_VALUE"""),0.0)</f>
        <v>0</v>
      </c>
      <c r="N207" s="8">
        <f>IFERROR(__xludf.DUMMYFUNCTION("""COMPUTED_VALUE"""),23.0)</f>
        <v>23</v>
      </c>
      <c r="O207" s="8"/>
      <c r="P207" s="8"/>
      <c r="Q207" s="8"/>
      <c r="R207" s="8"/>
      <c r="S207" s="8"/>
      <c r="T207" s="8"/>
      <c r="U207" s="8"/>
      <c r="V207" s="8"/>
      <c r="W207" s="8"/>
      <c r="X207" s="8"/>
      <c r="Y207" s="8"/>
      <c r="Z207" s="8"/>
    </row>
    <row r="208">
      <c r="A208" s="8">
        <f>IFERROR(__xludf.DUMMYFUNCTION("""COMPUTED_VALUE"""),209.0)</f>
        <v>209</v>
      </c>
      <c r="B208" s="8" t="str">
        <f>IFERROR(__xludf.DUMMYFUNCTION("""COMPUTED_VALUE"""),"cashew")</f>
        <v>cashew</v>
      </c>
      <c r="C208" s="8" t="str">
        <f>IFERROR(__xludf.DUMMYFUNCTION("""COMPUTED_VALUE"""),"graft")</f>
        <v>graft</v>
      </c>
      <c r="D208" s="55" t="str">
        <f>IFERROR(__xludf.DUMMYFUNCTION("""COMPUTED_VALUE"""),"Anacardium occidentale")</f>
        <v>Anacardium occidentale</v>
      </c>
      <c r="E208" s="8" t="str">
        <f>IFERROR(__xludf.DUMMYFUNCTION("""COMPUTED_VALUE"""),"Z330 (Orange)")</f>
        <v>Z330 (Orange)</v>
      </c>
      <c r="F208" s="8" t="str">
        <f>IFERROR(__xludf.DUMMYFUNCTION("""COMPUTED_VALUE"""),"Cashew")</f>
        <v>Cashew</v>
      </c>
      <c r="G208" s="8" t="str">
        <f>IFERROR(__xludf.DUMMYFUNCTION("""COMPUTED_VALUE"""),"Anacardier")</f>
        <v>Anacardier</v>
      </c>
      <c r="H208" s="8" t="str">
        <f>IFERROR(__xludf.DUMMYFUNCTION("""COMPUTED_VALUE"""),"graft")</f>
        <v>graft</v>
      </c>
      <c r="I208" s="8" t="str">
        <f>IFERROR(__xludf.DUMMYFUNCTION("""COMPUTED_VALUE"""),"C209")</f>
        <v>C209</v>
      </c>
      <c r="J208" s="8" t="str">
        <f>IFERROR(__xludf.DUMMYFUNCTION("""COMPUTED_VALUE"""),"18N04")</f>
        <v>18N04</v>
      </c>
      <c r="K208" s="8"/>
      <c r="L208" s="8">
        <f>IFERROR(__xludf.DUMMYFUNCTION("""COMPUTED_VALUE"""),1.0)</f>
        <v>1</v>
      </c>
      <c r="M208" s="8">
        <f>IFERROR(__xludf.DUMMYFUNCTION("""COMPUTED_VALUE"""),0.0)</f>
        <v>0</v>
      </c>
      <c r="N208" s="8">
        <f>IFERROR(__xludf.DUMMYFUNCTION("""COMPUTED_VALUE"""),23.0)</f>
        <v>23</v>
      </c>
      <c r="O208" s="8"/>
      <c r="P208" s="8"/>
      <c r="Q208" s="8"/>
      <c r="R208" s="8"/>
      <c r="S208" s="8"/>
      <c r="T208" s="8"/>
      <c r="U208" s="8"/>
      <c r="V208" s="8"/>
      <c r="W208" s="8"/>
      <c r="X208" s="8"/>
      <c r="Y208" s="8"/>
      <c r="Z208" s="8"/>
    </row>
    <row r="209">
      <c r="A209" s="8">
        <f>IFERROR(__xludf.DUMMYFUNCTION("""COMPUTED_VALUE"""),210.0)</f>
        <v>210</v>
      </c>
      <c r="B209" s="8" t="str">
        <f>IFERROR(__xludf.DUMMYFUNCTION("""COMPUTED_VALUE"""),"cashew")</f>
        <v>cashew</v>
      </c>
      <c r="C209" s="8" t="str">
        <f>IFERROR(__xludf.DUMMYFUNCTION("""COMPUTED_VALUE"""),"graft")</f>
        <v>graft</v>
      </c>
      <c r="D209" s="55" t="str">
        <f>IFERROR(__xludf.DUMMYFUNCTION("""COMPUTED_VALUE"""),"Anacardium occidentale")</f>
        <v>Anacardium occidentale</v>
      </c>
      <c r="E209" s="8" t="str">
        <f>IFERROR(__xludf.DUMMYFUNCTION("""COMPUTED_VALUE"""),"Z330 (Orange)")</f>
        <v>Z330 (Orange)</v>
      </c>
      <c r="F209" s="8" t="str">
        <f>IFERROR(__xludf.DUMMYFUNCTION("""COMPUTED_VALUE"""),"Cashew")</f>
        <v>Cashew</v>
      </c>
      <c r="G209" s="8" t="str">
        <f>IFERROR(__xludf.DUMMYFUNCTION("""COMPUTED_VALUE"""),"Anacardier")</f>
        <v>Anacardier</v>
      </c>
      <c r="H209" s="8" t="str">
        <f>IFERROR(__xludf.DUMMYFUNCTION("""COMPUTED_VALUE"""),"graft")</f>
        <v>graft</v>
      </c>
      <c r="I209" s="8" t="str">
        <f>IFERROR(__xludf.DUMMYFUNCTION("""COMPUTED_VALUE"""),"C210")</f>
        <v>C210</v>
      </c>
      <c r="J209" s="8" t="str">
        <f>IFERROR(__xludf.DUMMYFUNCTION("""COMPUTED_VALUE"""),"18N05")</f>
        <v>18N05</v>
      </c>
      <c r="K209" s="8"/>
      <c r="L209" s="8">
        <f>IFERROR(__xludf.DUMMYFUNCTION("""COMPUTED_VALUE"""),1.0)</f>
        <v>1</v>
      </c>
      <c r="M209" s="8">
        <f>IFERROR(__xludf.DUMMYFUNCTION("""COMPUTED_VALUE"""),0.0)</f>
        <v>0</v>
      </c>
      <c r="N209" s="8">
        <f>IFERROR(__xludf.DUMMYFUNCTION("""COMPUTED_VALUE"""),23.0)</f>
        <v>23</v>
      </c>
      <c r="O209" s="8"/>
      <c r="P209" s="8"/>
      <c r="Q209" s="8"/>
      <c r="R209" s="8"/>
      <c r="S209" s="8"/>
      <c r="T209" s="8"/>
      <c r="U209" s="8"/>
      <c r="V209" s="8"/>
      <c r="W209" s="8"/>
      <c r="X209" s="8"/>
      <c r="Y209" s="8"/>
      <c r="Z209" s="8"/>
    </row>
    <row r="210">
      <c r="A210" s="8">
        <f>IFERROR(__xludf.DUMMYFUNCTION("""COMPUTED_VALUE"""),211.0)</f>
        <v>211</v>
      </c>
      <c r="B210" s="8" t="str">
        <f>IFERROR(__xludf.DUMMYFUNCTION("""COMPUTED_VALUE"""),"cashew")</f>
        <v>cashew</v>
      </c>
      <c r="C210" s="8" t="str">
        <f>IFERROR(__xludf.DUMMYFUNCTION("""COMPUTED_VALUE"""),"graft")</f>
        <v>graft</v>
      </c>
      <c r="D210" s="55" t="str">
        <f>IFERROR(__xludf.DUMMYFUNCTION("""COMPUTED_VALUE"""),"Anacardium occidentale")</f>
        <v>Anacardium occidentale</v>
      </c>
      <c r="E210" s="8" t="str">
        <f>IFERROR(__xludf.DUMMYFUNCTION("""COMPUTED_VALUE"""),"Z330 (Orange)")</f>
        <v>Z330 (Orange)</v>
      </c>
      <c r="F210" s="8" t="str">
        <f>IFERROR(__xludf.DUMMYFUNCTION("""COMPUTED_VALUE"""),"Cashew")</f>
        <v>Cashew</v>
      </c>
      <c r="G210" s="8" t="str">
        <f>IFERROR(__xludf.DUMMYFUNCTION("""COMPUTED_VALUE"""),"Anacardier")</f>
        <v>Anacardier</v>
      </c>
      <c r="H210" s="8" t="str">
        <f>IFERROR(__xludf.DUMMYFUNCTION("""COMPUTED_VALUE"""),"graft")</f>
        <v>graft</v>
      </c>
      <c r="I210" s="8" t="str">
        <f>IFERROR(__xludf.DUMMYFUNCTION("""COMPUTED_VALUE"""),"C211")</f>
        <v>C211</v>
      </c>
      <c r="J210" s="8" t="str">
        <f>IFERROR(__xludf.DUMMYFUNCTION("""COMPUTED_VALUE"""),"18N06")</f>
        <v>18N06</v>
      </c>
      <c r="K210" s="8"/>
      <c r="L210" s="8">
        <f>IFERROR(__xludf.DUMMYFUNCTION("""COMPUTED_VALUE"""),1.0)</f>
        <v>1</v>
      </c>
      <c r="M210" s="8">
        <f>IFERROR(__xludf.DUMMYFUNCTION("""COMPUTED_VALUE"""),0.0)</f>
        <v>0</v>
      </c>
      <c r="N210" s="8">
        <f>IFERROR(__xludf.DUMMYFUNCTION("""COMPUTED_VALUE"""),23.0)</f>
        <v>23</v>
      </c>
      <c r="O210" s="8"/>
      <c r="P210" s="8"/>
      <c r="Q210" s="8"/>
      <c r="R210" s="8"/>
      <c r="S210" s="8"/>
      <c r="T210" s="8"/>
      <c r="U210" s="8"/>
      <c r="V210" s="8"/>
      <c r="W210" s="8"/>
      <c r="X210" s="8"/>
      <c r="Y210" s="8"/>
      <c r="Z210" s="8"/>
    </row>
    <row r="211">
      <c r="A211" s="8">
        <f>IFERROR(__xludf.DUMMYFUNCTION("""COMPUTED_VALUE"""),212.0)</f>
        <v>212</v>
      </c>
      <c r="B211" s="8" t="str">
        <f>IFERROR(__xludf.DUMMYFUNCTION("""COMPUTED_VALUE"""),"cashew")</f>
        <v>cashew</v>
      </c>
      <c r="C211" s="8" t="str">
        <f>IFERROR(__xludf.DUMMYFUNCTION("""COMPUTED_VALUE"""),"graft")</f>
        <v>graft</v>
      </c>
      <c r="D211" s="55" t="str">
        <f>IFERROR(__xludf.DUMMYFUNCTION("""COMPUTED_VALUE"""),"Anacardium occidentale")</f>
        <v>Anacardium occidentale</v>
      </c>
      <c r="E211" s="8" t="str">
        <f>IFERROR(__xludf.DUMMYFUNCTION("""COMPUTED_VALUE"""),"X4297 (Red)")</f>
        <v>X4297 (Red)</v>
      </c>
      <c r="F211" s="8" t="str">
        <f>IFERROR(__xludf.DUMMYFUNCTION("""COMPUTED_VALUE"""),"Cashew")</f>
        <v>Cashew</v>
      </c>
      <c r="G211" s="8" t="str">
        <f>IFERROR(__xludf.DUMMYFUNCTION("""COMPUTED_VALUE"""),"Anacardier")</f>
        <v>Anacardier</v>
      </c>
      <c r="H211" s="8" t="str">
        <f>IFERROR(__xludf.DUMMYFUNCTION("""COMPUTED_VALUE"""),"graft")</f>
        <v>graft</v>
      </c>
      <c r="I211" s="8" t="str">
        <f>IFERROR(__xludf.DUMMYFUNCTION("""COMPUTED_VALUE"""),"C212")</f>
        <v>C212</v>
      </c>
      <c r="J211" s="8" t="str">
        <f>IFERROR(__xludf.DUMMYFUNCTION("""COMPUTED_VALUE"""),"18N07")</f>
        <v>18N07</v>
      </c>
      <c r="K211" s="8"/>
      <c r="L211" s="8">
        <f>IFERROR(__xludf.DUMMYFUNCTION("""COMPUTED_VALUE"""),1.0)</f>
        <v>1</v>
      </c>
      <c r="M211" s="8">
        <f>IFERROR(__xludf.DUMMYFUNCTION("""COMPUTED_VALUE"""),0.0)</f>
        <v>0</v>
      </c>
      <c r="N211" s="8">
        <f>IFERROR(__xludf.DUMMYFUNCTION("""COMPUTED_VALUE"""),22.0)</f>
        <v>22</v>
      </c>
      <c r="O211" s="8"/>
      <c r="P211" s="8"/>
      <c r="Q211" s="8"/>
      <c r="R211" s="8"/>
      <c r="S211" s="8"/>
      <c r="T211" s="8"/>
      <c r="U211" s="8"/>
      <c r="V211" s="8"/>
      <c r="W211" s="8"/>
      <c r="X211" s="8"/>
      <c r="Y211" s="8"/>
      <c r="Z211" s="8"/>
    </row>
    <row r="212">
      <c r="A212" s="8">
        <f>IFERROR(__xludf.DUMMYFUNCTION("""COMPUTED_VALUE"""),213.0)</f>
        <v>213</v>
      </c>
      <c r="B212" s="8" t="str">
        <f>IFERROR(__xludf.DUMMYFUNCTION("""COMPUTED_VALUE"""),"cashew")</f>
        <v>cashew</v>
      </c>
      <c r="C212" s="8" t="str">
        <f>IFERROR(__xludf.DUMMYFUNCTION("""COMPUTED_VALUE"""),"graft")</f>
        <v>graft</v>
      </c>
      <c r="D212" s="55" t="str">
        <f>IFERROR(__xludf.DUMMYFUNCTION("""COMPUTED_VALUE"""),"Anacardium occidentale")</f>
        <v>Anacardium occidentale</v>
      </c>
      <c r="E212" s="8" t="str">
        <f>IFERROR(__xludf.DUMMYFUNCTION("""COMPUTED_VALUE"""),"X4297 (Red)")</f>
        <v>X4297 (Red)</v>
      </c>
      <c r="F212" s="8" t="str">
        <f>IFERROR(__xludf.DUMMYFUNCTION("""COMPUTED_VALUE"""),"Cashew")</f>
        <v>Cashew</v>
      </c>
      <c r="G212" s="8" t="str">
        <f>IFERROR(__xludf.DUMMYFUNCTION("""COMPUTED_VALUE"""),"Anacardier")</f>
        <v>Anacardier</v>
      </c>
      <c r="H212" s="8" t="str">
        <f>IFERROR(__xludf.DUMMYFUNCTION("""COMPUTED_VALUE"""),"graft")</f>
        <v>graft</v>
      </c>
      <c r="I212" s="8" t="str">
        <f>IFERROR(__xludf.DUMMYFUNCTION("""COMPUTED_VALUE"""),"C213")</f>
        <v>C213</v>
      </c>
      <c r="J212" s="8" t="str">
        <f>IFERROR(__xludf.DUMMYFUNCTION("""COMPUTED_VALUE"""),"18N08")</f>
        <v>18N08</v>
      </c>
      <c r="K212" s="8"/>
      <c r="L212" s="8">
        <f>IFERROR(__xludf.DUMMYFUNCTION("""COMPUTED_VALUE"""),1.0)</f>
        <v>1</v>
      </c>
      <c r="M212" s="8">
        <f>IFERROR(__xludf.DUMMYFUNCTION("""COMPUTED_VALUE"""),0.0)</f>
        <v>0</v>
      </c>
      <c r="N212" s="8">
        <f>IFERROR(__xludf.DUMMYFUNCTION("""COMPUTED_VALUE"""),22.0)</f>
        <v>22</v>
      </c>
      <c r="O212" s="8"/>
      <c r="P212" s="8"/>
      <c r="Q212" s="8"/>
      <c r="R212" s="8"/>
      <c r="S212" s="8"/>
      <c r="T212" s="8"/>
      <c r="U212" s="8"/>
      <c r="V212" s="8"/>
      <c r="W212" s="8"/>
      <c r="X212" s="8"/>
      <c r="Y212" s="8"/>
      <c r="Z212" s="8"/>
    </row>
    <row r="213">
      <c r="A213" s="8">
        <f>IFERROR(__xludf.DUMMYFUNCTION("""COMPUTED_VALUE"""),214.0)</f>
        <v>214</v>
      </c>
      <c r="B213" s="8" t="str">
        <f>IFERROR(__xludf.DUMMYFUNCTION("""COMPUTED_VALUE"""),"cashew")</f>
        <v>cashew</v>
      </c>
      <c r="C213" s="8" t="str">
        <f>IFERROR(__xludf.DUMMYFUNCTION("""COMPUTED_VALUE"""),"graft")</f>
        <v>graft</v>
      </c>
      <c r="D213" s="55" t="str">
        <f>IFERROR(__xludf.DUMMYFUNCTION("""COMPUTED_VALUE"""),"Anacardium occidentale")</f>
        <v>Anacardium occidentale</v>
      </c>
      <c r="E213" s="8" t="str">
        <f>IFERROR(__xludf.DUMMYFUNCTION("""COMPUTED_VALUE"""),"X4297 (Red)")</f>
        <v>X4297 (Red)</v>
      </c>
      <c r="F213" s="8" t="str">
        <f>IFERROR(__xludf.DUMMYFUNCTION("""COMPUTED_VALUE"""),"Cashew")</f>
        <v>Cashew</v>
      </c>
      <c r="G213" s="8" t="str">
        <f>IFERROR(__xludf.DUMMYFUNCTION("""COMPUTED_VALUE"""),"Anacardier")</f>
        <v>Anacardier</v>
      </c>
      <c r="H213" s="8" t="str">
        <f>IFERROR(__xludf.DUMMYFUNCTION("""COMPUTED_VALUE"""),"graft")</f>
        <v>graft</v>
      </c>
      <c r="I213" s="8" t="str">
        <f>IFERROR(__xludf.DUMMYFUNCTION("""COMPUTED_VALUE"""),"C214")</f>
        <v>C214</v>
      </c>
      <c r="J213" s="8" t="str">
        <f>IFERROR(__xludf.DUMMYFUNCTION("""COMPUTED_VALUE"""),"18N09")</f>
        <v>18N09</v>
      </c>
      <c r="K213" s="8"/>
      <c r="L213" s="8">
        <f>IFERROR(__xludf.DUMMYFUNCTION("""COMPUTED_VALUE"""),1.0)</f>
        <v>1</v>
      </c>
      <c r="M213" s="8">
        <f>IFERROR(__xludf.DUMMYFUNCTION("""COMPUTED_VALUE"""),0.0)</f>
        <v>0</v>
      </c>
      <c r="N213" s="8">
        <f>IFERROR(__xludf.DUMMYFUNCTION("""COMPUTED_VALUE"""),22.0)</f>
        <v>22</v>
      </c>
      <c r="O213" s="8"/>
      <c r="P213" s="8"/>
      <c r="Q213" s="8"/>
      <c r="R213" s="8"/>
      <c r="S213" s="8"/>
      <c r="T213" s="8"/>
      <c r="U213" s="8"/>
      <c r="V213" s="8"/>
      <c r="W213" s="8"/>
      <c r="X213" s="8"/>
      <c r="Y213" s="8"/>
      <c r="Z213" s="8"/>
    </row>
    <row r="214">
      <c r="A214" s="8">
        <f>IFERROR(__xludf.DUMMYFUNCTION("""COMPUTED_VALUE"""),215.0)</f>
        <v>215</v>
      </c>
      <c r="B214" s="8" t="str">
        <f>IFERROR(__xludf.DUMMYFUNCTION("""COMPUTED_VALUE"""),"cashew")</f>
        <v>cashew</v>
      </c>
      <c r="C214" s="8" t="str">
        <f>IFERROR(__xludf.DUMMYFUNCTION("""COMPUTED_VALUE"""),"graft")</f>
        <v>graft</v>
      </c>
      <c r="D214" s="55" t="str">
        <f>IFERROR(__xludf.DUMMYFUNCTION("""COMPUTED_VALUE"""),"Anacardium occidentale")</f>
        <v>Anacardium occidentale</v>
      </c>
      <c r="E214" s="8" t="str">
        <f>IFERROR(__xludf.DUMMYFUNCTION("""COMPUTED_VALUE"""),"X4297 (Red)")</f>
        <v>X4297 (Red)</v>
      </c>
      <c r="F214" s="8" t="str">
        <f>IFERROR(__xludf.DUMMYFUNCTION("""COMPUTED_VALUE"""),"Cashew")</f>
        <v>Cashew</v>
      </c>
      <c r="G214" s="8" t="str">
        <f>IFERROR(__xludf.DUMMYFUNCTION("""COMPUTED_VALUE"""),"Anacardier")</f>
        <v>Anacardier</v>
      </c>
      <c r="H214" s="8" t="str">
        <f>IFERROR(__xludf.DUMMYFUNCTION("""COMPUTED_VALUE"""),"graft")</f>
        <v>graft</v>
      </c>
      <c r="I214" s="8" t="str">
        <f>IFERROR(__xludf.DUMMYFUNCTION("""COMPUTED_VALUE"""),"C215")</f>
        <v>C215</v>
      </c>
      <c r="J214" s="8" t="str">
        <f>IFERROR(__xludf.DUMMYFUNCTION("""COMPUTED_VALUE"""),"18N10")</f>
        <v>18N10</v>
      </c>
      <c r="K214" s="8"/>
      <c r="L214" s="8">
        <f>IFERROR(__xludf.DUMMYFUNCTION("""COMPUTED_VALUE"""),1.0)</f>
        <v>1</v>
      </c>
      <c r="M214" s="8">
        <f>IFERROR(__xludf.DUMMYFUNCTION("""COMPUTED_VALUE"""),0.0)</f>
        <v>0</v>
      </c>
      <c r="N214" s="8">
        <f>IFERROR(__xludf.DUMMYFUNCTION("""COMPUTED_VALUE"""),22.0)</f>
        <v>22</v>
      </c>
      <c r="O214" s="8"/>
      <c r="P214" s="8"/>
      <c r="Q214" s="8"/>
      <c r="R214" s="8"/>
      <c r="S214" s="8"/>
      <c r="T214" s="8"/>
      <c r="U214" s="8"/>
      <c r="V214" s="8"/>
      <c r="W214" s="8"/>
      <c r="X214" s="8"/>
      <c r="Y214" s="8"/>
      <c r="Z214" s="8"/>
    </row>
    <row r="215">
      <c r="A215" s="8">
        <f>IFERROR(__xludf.DUMMYFUNCTION("""COMPUTED_VALUE"""),216.0)</f>
        <v>216</v>
      </c>
      <c r="B215" s="8" t="str">
        <f>IFERROR(__xludf.DUMMYFUNCTION("""COMPUTED_VALUE"""),"cashew")</f>
        <v>cashew</v>
      </c>
      <c r="C215" s="8" t="str">
        <f>IFERROR(__xludf.DUMMYFUNCTION("""COMPUTED_VALUE"""),"graft")</f>
        <v>graft</v>
      </c>
      <c r="D215" s="55" t="str">
        <f>IFERROR(__xludf.DUMMYFUNCTION("""COMPUTED_VALUE"""),"Anacardium occidentale")</f>
        <v>Anacardium occidentale</v>
      </c>
      <c r="E215" s="8" t="str">
        <f>IFERROR(__xludf.DUMMYFUNCTION("""COMPUTED_VALUE"""),"X4297 (Red)")</f>
        <v>X4297 (Red)</v>
      </c>
      <c r="F215" s="8" t="str">
        <f>IFERROR(__xludf.DUMMYFUNCTION("""COMPUTED_VALUE"""),"Cashew")</f>
        <v>Cashew</v>
      </c>
      <c r="G215" s="8" t="str">
        <f>IFERROR(__xludf.DUMMYFUNCTION("""COMPUTED_VALUE"""),"Anacardier")</f>
        <v>Anacardier</v>
      </c>
      <c r="H215" s="8" t="str">
        <f>IFERROR(__xludf.DUMMYFUNCTION("""COMPUTED_VALUE"""),"graft")</f>
        <v>graft</v>
      </c>
      <c r="I215" s="8" t="str">
        <f>IFERROR(__xludf.DUMMYFUNCTION("""COMPUTED_VALUE"""),"C216")</f>
        <v>C216</v>
      </c>
      <c r="J215" s="8" t="str">
        <f>IFERROR(__xludf.DUMMYFUNCTION("""COMPUTED_VALUE"""),"18N11")</f>
        <v>18N11</v>
      </c>
      <c r="K215" s="8"/>
      <c r="L215" s="8">
        <f>IFERROR(__xludf.DUMMYFUNCTION("""COMPUTED_VALUE"""),1.0)</f>
        <v>1</v>
      </c>
      <c r="M215" s="8">
        <f>IFERROR(__xludf.DUMMYFUNCTION("""COMPUTED_VALUE"""),0.0)</f>
        <v>0</v>
      </c>
      <c r="N215" s="8">
        <f>IFERROR(__xludf.DUMMYFUNCTION("""COMPUTED_VALUE"""),22.0)</f>
        <v>22</v>
      </c>
      <c r="O215" s="8"/>
      <c r="P215" s="8"/>
      <c r="Q215" s="8"/>
      <c r="R215" s="8"/>
      <c r="S215" s="8"/>
      <c r="T215" s="8"/>
      <c r="U215" s="8"/>
      <c r="V215" s="8"/>
      <c r="W215" s="8"/>
      <c r="X215" s="8"/>
      <c r="Y215" s="8"/>
      <c r="Z215" s="8"/>
    </row>
    <row r="216">
      <c r="A216" s="8">
        <f>IFERROR(__xludf.DUMMYFUNCTION("""COMPUTED_VALUE"""),217.0)</f>
        <v>217</v>
      </c>
      <c r="B216" s="8" t="str">
        <f>IFERROR(__xludf.DUMMYFUNCTION("""COMPUTED_VALUE"""),"cashew")</f>
        <v>cashew</v>
      </c>
      <c r="C216" s="8" t="str">
        <f>IFERROR(__xludf.DUMMYFUNCTION("""COMPUTED_VALUE"""),"graft")</f>
        <v>graft</v>
      </c>
      <c r="D216" s="55" t="str">
        <f>IFERROR(__xludf.DUMMYFUNCTION("""COMPUTED_VALUE"""),"Anacardium occidentale")</f>
        <v>Anacardium occidentale</v>
      </c>
      <c r="E216" s="8" t="str">
        <f>IFERROR(__xludf.DUMMYFUNCTION("""COMPUTED_VALUE"""),"X4297 (Red)")</f>
        <v>X4297 (Red)</v>
      </c>
      <c r="F216" s="8" t="str">
        <f>IFERROR(__xludf.DUMMYFUNCTION("""COMPUTED_VALUE"""),"Cashew")</f>
        <v>Cashew</v>
      </c>
      <c r="G216" s="8" t="str">
        <f>IFERROR(__xludf.DUMMYFUNCTION("""COMPUTED_VALUE"""),"Anacardier")</f>
        <v>Anacardier</v>
      </c>
      <c r="H216" s="8" t="str">
        <f>IFERROR(__xludf.DUMMYFUNCTION("""COMPUTED_VALUE"""),"graft")</f>
        <v>graft</v>
      </c>
      <c r="I216" s="8" t="str">
        <f>IFERROR(__xludf.DUMMYFUNCTION("""COMPUTED_VALUE"""),"C217")</f>
        <v>C217</v>
      </c>
      <c r="J216" s="8" t="str">
        <f>IFERROR(__xludf.DUMMYFUNCTION("""COMPUTED_VALUE"""),"18N12")</f>
        <v>18N12</v>
      </c>
      <c r="K216" s="8"/>
      <c r="L216" s="8">
        <f>IFERROR(__xludf.DUMMYFUNCTION("""COMPUTED_VALUE"""),1.0)</f>
        <v>1</v>
      </c>
      <c r="M216" s="8">
        <f>IFERROR(__xludf.DUMMYFUNCTION("""COMPUTED_VALUE"""),0.0)</f>
        <v>0</v>
      </c>
      <c r="N216" s="8">
        <f>IFERROR(__xludf.DUMMYFUNCTION("""COMPUTED_VALUE"""),22.0)</f>
        <v>22</v>
      </c>
      <c r="O216" s="8"/>
      <c r="P216" s="8"/>
      <c r="Q216" s="8"/>
      <c r="R216" s="8"/>
      <c r="S216" s="8"/>
      <c r="T216" s="8"/>
      <c r="U216" s="8"/>
      <c r="V216" s="8"/>
      <c r="W216" s="8"/>
      <c r="X216" s="8"/>
      <c r="Y216" s="8"/>
      <c r="Z216" s="8"/>
    </row>
    <row r="217">
      <c r="A217" s="8">
        <f>IFERROR(__xludf.DUMMYFUNCTION("""COMPUTED_VALUE"""),218.0)</f>
        <v>218</v>
      </c>
      <c r="B217" s="8" t="str">
        <f>IFERROR(__xludf.DUMMYFUNCTION("""COMPUTED_VALUE"""),"cashew")</f>
        <v>cashew</v>
      </c>
      <c r="C217" s="8" t="str">
        <f>IFERROR(__xludf.DUMMYFUNCTION("""COMPUTED_VALUE"""),"graft")</f>
        <v>graft</v>
      </c>
      <c r="D217" s="55" t="str">
        <f>IFERROR(__xludf.DUMMYFUNCTION("""COMPUTED_VALUE"""),"Anacardium occidentale")</f>
        <v>Anacardium occidentale</v>
      </c>
      <c r="E217" s="8" t="str">
        <f>IFERROR(__xludf.DUMMYFUNCTION("""COMPUTED_VALUE"""),"Z330 (Orange)")</f>
        <v>Z330 (Orange)</v>
      </c>
      <c r="F217" s="8" t="str">
        <f>IFERROR(__xludf.DUMMYFUNCTION("""COMPUTED_VALUE"""),"Cashew")</f>
        <v>Cashew</v>
      </c>
      <c r="G217" s="8" t="str">
        <f>IFERROR(__xludf.DUMMYFUNCTION("""COMPUTED_VALUE"""),"Anacardier")</f>
        <v>Anacardier</v>
      </c>
      <c r="H217" s="8" t="str">
        <f>IFERROR(__xludf.DUMMYFUNCTION("""COMPUTED_VALUE"""),"graft")</f>
        <v>graft</v>
      </c>
      <c r="I217" s="8" t="str">
        <f>IFERROR(__xludf.DUMMYFUNCTION("""COMPUTED_VALUE"""),"C218")</f>
        <v>C218</v>
      </c>
      <c r="J217" s="8" t="str">
        <f>IFERROR(__xludf.DUMMYFUNCTION("""COMPUTED_VALUE"""),"19N01")</f>
        <v>19N01</v>
      </c>
      <c r="K217" s="8"/>
      <c r="L217" s="8">
        <f>IFERROR(__xludf.DUMMYFUNCTION("""COMPUTED_VALUE"""),1.0)</f>
        <v>1</v>
      </c>
      <c r="M217" s="8">
        <f>IFERROR(__xludf.DUMMYFUNCTION("""COMPUTED_VALUE"""),0.0)</f>
        <v>0</v>
      </c>
      <c r="N217" s="8">
        <f>IFERROR(__xludf.DUMMYFUNCTION("""COMPUTED_VALUE"""),23.0)</f>
        <v>23</v>
      </c>
      <c r="O217" s="8"/>
      <c r="P217" s="8"/>
      <c r="Q217" s="8"/>
      <c r="R217" s="8"/>
      <c r="S217" s="8"/>
      <c r="T217" s="8"/>
      <c r="U217" s="8"/>
      <c r="V217" s="8"/>
      <c r="W217" s="8"/>
      <c r="X217" s="8"/>
      <c r="Y217" s="8"/>
      <c r="Z217" s="8"/>
    </row>
    <row r="218">
      <c r="A218" s="8">
        <f>IFERROR(__xludf.DUMMYFUNCTION("""COMPUTED_VALUE"""),219.0)</f>
        <v>219</v>
      </c>
      <c r="B218" s="8" t="str">
        <f>IFERROR(__xludf.DUMMYFUNCTION("""COMPUTED_VALUE"""),"cashew")</f>
        <v>cashew</v>
      </c>
      <c r="C218" s="8" t="str">
        <f>IFERROR(__xludf.DUMMYFUNCTION("""COMPUTED_VALUE"""),"graft")</f>
        <v>graft</v>
      </c>
      <c r="D218" s="55" t="str">
        <f>IFERROR(__xludf.DUMMYFUNCTION("""COMPUTED_VALUE"""),"Anacardium occidentale")</f>
        <v>Anacardium occidentale</v>
      </c>
      <c r="E218" s="8" t="str">
        <f>IFERROR(__xludf.DUMMYFUNCTION("""COMPUTED_VALUE"""),"Z330 (Orange)")</f>
        <v>Z330 (Orange)</v>
      </c>
      <c r="F218" s="8" t="str">
        <f>IFERROR(__xludf.DUMMYFUNCTION("""COMPUTED_VALUE"""),"Cashew")</f>
        <v>Cashew</v>
      </c>
      <c r="G218" s="8" t="str">
        <f>IFERROR(__xludf.DUMMYFUNCTION("""COMPUTED_VALUE"""),"Anacardier")</f>
        <v>Anacardier</v>
      </c>
      <c r="H218" s="8" t="str">
        <f>IFERROR(__xludf.DUMMYFUNCTION("""COMPUTED_VALUE"""),"graft")</f>
        <v>graft</v>
      </c>
      <c r="I218" s="8" t="str">
        <f>IFERROR(__xludf.DUMMYFUNCTION("""COMPUTED_VALUE"""),"C219")</f>
        <v>C219</v>
      </c>
      <c r="J218" s="8" t="str">
        <f>IFERROR(__xludf.DUMMYFUNCTION("""COMPUTED_VALUE"""),"19N02")</f>
        <v>19N02</v>
      </c>
      <c r="K218" s="8"/>
      <c r="L218" s="8">
        <f>IFERROR(__xludf.DUMMYFUNCTION("""COMPUTED_VALUE"""),1.0)</f>
        <v>1</v>
      </c>
      <c r="M218" s="8">
        <f>IFERROR(__xludf.DUMMYFUNCTION("""COMPUTED_VALUE"""),0.0)</f>
        <v>0</v>
      </c>
      <c r="N218" s="8">
        <f>IFERROR(__xludf.DUMMYFUNCTION("""COMPUTED_VALUE"""),23.0)</f>
        <v>23</v>
      </c>
      <c r="O218" s="8"/>
      <c r="P218" s="8"/>
      <c r="Q218" s="8"/>
      <c r="R218" s="8"/>
      <c r="S218" s="8"/>
      <c r="T218" s="8"/>
      <c r="U218" s="8"/>
      <c r="V218" s="8"/>
      <c r="W218" s="8"/>
      <c r="X218" s="8"/>
      <c r="Y218" s="8"/>
      <c r="Z218" s="8"/>
    </row>
    <row r="219">
      <c r="A219" s="8">
        <f>IFERROR(__xludf.DUMMYFUNCTION("""COMPUTED_VALUE"""),220.0)</f>
        <v>220</v>
      </c>
      <c r="B219" s="8" t="str">
        <f>IFERROR(__xludf.DUMMYFUNCTION("""COMPUTED_VALUE"""),"cashew")</f>
        <v>cashew</v>
      </c>
      <c r="C219" s="8" t="str">
        <f>IFERROR(__xludf.DUMMYFUNCTION("""COMPUTED_VALUE"""),"graft")</f>
        <v>graft</v>
      </c>
      <c r="D219" s="55" t="str">
        <f>IFERROR(__xludf.DUMMYFUNCTION("""COMPUTED_VALUE"""),"Anacardium occidentale")</f>
        <v>Anacardium occidentale</v>
      </c>
      <c r="E219" s="8" t="str">
        <f>IFERROR(__xludf.DUMMYFUNCTION("""COMPUTED_VALUE"""),"Z330 (Orange)")</f>
        <v>Z330 (Orange)</v>
      </c>
      <c r="F219" s="8" t="str">
        <f>IFERROR(__xludf.DUMMYFUNCTION("""COMPUTED_VALUE"""),"Cashew")</f>
        <v>Cashew</v>
      </c>
      <c r="G219" s="8" t="str">
        <f>IFERROR(__xludf.DUMMYFUNCTION("""COMPUTED_VALUE"""),"Anacardier")</f>
        <v>Anacardier</v>
      </c>
      <c r="H219" s="8" t="str">
        <f>IFERROR(__xludf.DUMMYFUNCTION("""COMPUTED_VALUE"""),"graft")</f>
        <v>graft</v>
      </c>
      <c r="I219" s="8" t="str">
        <f>IFERROR(__xludf.DUMMYFUNCTION("""COMPUTED_VALUE"""),"C220")</f>
        <v>C220</v>
      </c>
      <c r="J219" s="8" t="str">
        <f>IFERROR(__xludf.DUMMYFUNCTION("""COMPUTED_VALUE"""),"19N03")</f>
        <v>19N03</v>
      </c>
      <c r="K219" s="8"/>
      <c r="L219" s="8">
        <f>IFERROR(__xludf.DUMMYFUNCTION("""COMPUTED_VALUE"""),1.0)</f>
        <v>1</v>
      </c>
      <c r="M219" s="8">
        <f>IFERROR(__xludf.DUMMYFUNCTION("""COMPUTED_VALUE"""),0.0)</f>
        <v>0</v>
      </c>
      <c r="N219" s="8">
        <f>IFERROR(__xludf.DUMMYFUNCTION("""COMPUTED_VALUE"""),23.0)</f>
        <v>23</v>
      </c>
      <c r="O219" s="8"/>
      <c r="P219" s="8"/>
      <c r="Q219" s="8"/>
      <c r="R219" s="8"/>
      <c r="S219" s="8"/>
      <c r="T219" s="8"/>
      <c r="U219" s="8"/>
      <c r="V219" s="8"/>
      <c r="W219" s="8"/>
      <c r="X219" s="8"/>
      <c r="Y219" s="8"/>
      <c r="Z219" s="8"/>
    </row>
    <row r="220">
      <c r="A220" s="8">
        <f>IFERROR(__xludf.DUMMYFUNCTION("""COMPUTED_VALUE"""),221.0)</f>
        <v>221</v>
      </c>
      <c r="B220" s="8" t="str">
        <f>IFERROR(__xludf.DUMMYFUNCTION("""COMPUTED_VALUE"""),"cashew")</f>
        <v>cashew</v>
      </c>
      <c r="C220" s="8" t="str">
        <f>IFERROR(__xludf.DUMMYFUNCTION("""COMPUTED_VALUE"""),"graft")</f>
        <v>graft</v>
      </c>
      <c r="D220" s="55" t="str">
        <f>IFERROR(__xludf.DUMMYFUNCTION("""COMPUTED_VALUE"""),"Anacardium occidentale")</f>
        <v>Anacardium occidentale</v>
      </c>
      <c r="E220" s="8" t="str">
        <f>IFERROR(__xludf.DUMMYFUNCTION("""COMPUTED_VALUE"""),"Z330 (Orange)")</f>
        <v>Z330 (Orange)</v>
      </c>
      <c r="F220" s="8" t="str">
        <f>IFERROR(__xludf.DUMMYFUNCTION("""COMPUTED_VALUE"""),"Cashew")</f>
        <v>Cashew</v>
      </c>
      <c r="G220" s="8" t="str">
        <f>IFERROR(__xludf.DUMMYFUNCTION("""COMPUTED_VALUE"""),"Anacardier")</f>
        <v>Anacardier</v>
      </c>
      <c r="H220" s="8" t="str">
        <f>IFERROR(__xludf.DUMMYFUNCTION("""COMPUTED_VALUE"""),"graft")</f>
        <v>graft</v>
      </c>
      <c r="I220" s="8" t="str">
        <f>IFERROR(__xludf.DUMMYFUNCTION("""COMPUTED_VALUE"""),"C221")</f>
        <v>C221</v>
      </c>
      <c r="J220" s="8" t="str">
        <f>IFERROR(__xludf.DUMMYFUNCTION("""COMPUTED_VALUE"""),"19N04")</f>
        <v>19N04</v>
      </c>
      <c r="K220" s="8"/>
      <c r="L220" s="8">
        <f>IFERROR(__xludf.DUMMYFUNCTION("""COMPUTED_VALUE"""),1.0)</f>
        <v>1</v>
      </c>
      <c r="M220" s="8">
        <f>IFERROR(__xludf.DUMMYFUNCTION("""COMPUTED_VALUE"""),0.0)</f>
        <v>0</v>
      </c>
      <c r="N220" s="8">
        <f>IFERROR(__xludf.DUMMYFUNCTION("""COMPUTED_VALUE"""),23.0)</f>
        <v>23</v>
      </c>
      <c r="O220" s="8"/>
      <c r="P220" s="8"/>
      <c r="Q220" s="8"/>
      <c r="R220" s="8"/>
      <c r="S220" s="8"/>
      <c r="T220" s="8"/>
      <c r="U220" s="8"/>
      <c r="V220" s="8"/>
      <c r="W220" s="8"/>
      <c r="X220" s="8"/>
      <c r="Y220" s="8"/>
      <c r="Z220" s="8"/>
    </row>
    <row r="221">
      <c r="A221" s="8">
        <f>IFERROR(__xludf.DUMMYFUNCTION("""COMPUTED_VALUE"""),222.0)</f>
        <v>222</v>
      </c>
      <c r="B221" s="8" t="str">
        <f>IFERROR(__xludf.DUMMYFUNCTION("""COMPUTED_VALUE"""),"cashew")</f>
        <v>cashew</v>
      </c>
      <c r="C221" s="8" t="str">
        <f>IFERROR(__xludf.DUMMYFUNCTION("""COMPUTED_VALUE"""),"graft")</f>
        <v>graft</v>
      </c>
      <c r="D221" s="55" t="str">
        <f>IFERROR(__xludf.DUMMYFUNCTION("""COMPUTED_VALUE"""),"Anacardium occidentale")</f>
        <v>Anacardium occidentale</v>
      </c>
      <c r="E221" s="8" t="str">
        <f>IFERROR(__xludf.DUMMYFUNCTION("""COMPUTED_VALUE"""),"Z330 (Orange)")</f>
        <v>Z330 (Orange)</v>
      </c>
      <c r="F221" s="8" t="str">
        <f>IFERROR(__xludf.DUMMYFUNCTION("""COMPUTED_VALUE"""),"Cashew")</f>
        <v>Cashew</v>
      </c>
      <c r="G221" s="8" t="str">
        <f>IFERROR(__xludf.DUMMYFUNCTION("""COMPUTED_VALUE"""),"Anacardier")</f>
        <v>Anacardier</v>
      </c>
      <c r="H221" s="8" t="str">
        <f>IFERROR(__xludf.DUMMYFUNCTION("""COMPUTED_VALUE"""),"graft")</f>
        <v>graft</v>
      </c>
      <c r="I221" s="8" t="str">
        <f>IFERROR(__xludf.DUMMYFUNCTION("""COMPUTED_VALUE"""),"C222")</f>
        <v>C222</v>
      </c>
      <c r="J221" s="8" t="str">
        <f>IFERROR(__xludf.DUMMYFUNCTION("""COMPUTED_VALUE"""),"19N05")</f>
        <v>19N05</v>
      </c>
      <c r="K221" s="8"/>
      <c r="L221" s="8">
        <f>IFERROR(__xludf.DUMMYFUNCTION("""COMPUTED_VALUE"""),1.0)</f>
        <v>1</v>
      </c>
      <c r="M221" s="8">
        <f>IFERROR(__xludf.DUMMYFUNCTION("""COMPUTED_VALUE"""),0.0)</f>
        <v>0</v>
      </c>
      <c r="N221" s="8">
        <f>IFERROR(__xludf.DUMMYFUNCTION("""COMPUTED_VALUE"""),23.0)</f>
        <v>23</v>
      </c>
      <c r="O221" s="8"/>
      <c r="P221" s="8"/>
      <c r="Q221" s="8"/>
      <c r="R221" s="8"/>
      <c r="S221" s="8"/>
      <c r="T221" s="8"/>
      <c r="U221" s="8"/>
      <c r="V221" s="8"/>
      <c r="W221" s="8"/>
      <c r="X221" s="8"/>
      <c r="Y221" s="8"/>
      <c r="Z221" s="8"/>
    </row>
    <row r="222">
      <c r="A222" s="8">
        <f>IFERROR(__xludf.DUMMYFUNCTION("""COMPUTED_VALUE"""),223.0)</f>
        <v>223</v>
      </c>
      <c r="B222" s="8" t="str">
        <f>IFERROR(__xludf.DUMMYFUNCTION("""COMPUTED_VALUE"""),"cashew")</f>
        <v>cashew</v>
      </c>
      <c r="C222" s="8" t="str">
        <f>IFERROR(__xludf.DUMMYFUNCTION("""COMPUTED_VALUE"""),"graft")</f>
        <v>graft</v>
      </c>
      <c r="D222" s="55" t="str">
        <f>IFERROR(__xludf.DUMMYFUNCTION("""COMPUTED_VALUE"""),"Anacardium occidentale")</f>
        <v>Anacardium occidentale</v>
      </c>
      <c r="E222" s="8" t="str">
        <f>IFERROR(__xludf.DUMMYFUNCTION("""COMPUTED_VALUE"""),"Z330 (Orange)")</f>
        <v>Z330 (Orange)</v>
      </c>
      <c r="F222" s="8" t="str">
        <f>IFERROR(__xludf.DUMMYFUNCTION("""COMPUTED_VALUE"""),"Cashew")</f>
        <v>Cashew</v>
      </c>
      <c r="G222" s="8" t="str">
        <f>IFERROR(__xludf.DUMMYFUNCTION("""COMPUTED_VALUE"""),"Anacardier")</f>
        <v>Anacardier</v>
      </c>
      <c r="H222" s="8" t="str">
        <f>IFERROR(__xludf.DUMMYFUNCTION("""COMPUTED_VALUE"""),"graft")</f>
        <v>graft</v>
      </c>
      <c r="I222" s="8" t="str">
        <f>IFERROR(__xludf.DUMMYFUNCTION("""COMPUTED_VALUE"""),"C223")</f>
        <v>C223</v>
      </c>
      <c r="J222" s="8" t="str">
        <f>IFERROR(__xludf.DUMMYFUNCTION("""COMPUTED_VALUE"""),"19N06")</f>
        <v>19N06</v>
      </c>
      <c r="K222" s="8"/>
      <c r="L222" s="8">
        <f>IFERROR(__xludf.DUMMYFUNCTION("""COMPUTED_VALUE"""),1.0)</f>
        <v>1</v>
      </c>
      <c r="M222" s="8">
        <f>IFERROR(__xludf.DUMMYFUNCTION("""COMPUTED_VALUE"""),0.0)</f>
        <v>0</v>
      </c>
      <c r="N222" s="8">
        <f>IFERROR(__xludf.DUMMYFUNCTION("""COMPUTED_VALUE"""),23.0)</f>
        <v>23</v>
      </c>
      <c r="O222" s="8"/>
      <c r="P222" s="8"/>
      <c r="Q222" s="8"/>
      <c r="R222" s="8"/>
      <c r="S222" s="8"/>
      <c r="T222" s="8"/>
      <c r="U222" s="8"/>
      <c r="V222" s="8"/>
      <c r="W222" s="8"/>
      <c r="X222" s="8"/>
      <c r="Y222" s="8"/>
      <c r="Z222" s="8"/>
    </row>
    <row r="223">
      <c r="A223" s="8">
        <f>IFERROR(__xludf.DUMMYFUNCTION("""COMPUTED_VALUE"""),224.0)</f>
        <v>224</v>
      </c>
      <c r="B223" s="8" t="str">
        <f>IFERROR(__xludf.DUMMYFUNCTION("""COMPUTED_VALUE"""),"cashew")</f>
        <v>cashew</v>
      </c>
      <c r="C223" s="8" t="str">
        <f>IFERROR(__xludf.DUMMYFUNCTION("""COMPUTED_VALUE"""),"graft")</f>
        <v>graft</v>
      </c>
      <c r="D223" s="55" t="str">
        <f>IFERROR(__xludf.DUMMYFUNCTION("""COMPUTED_VALUE"""),"Anacardium occidentale")</f>
        <v>Anacardium occidentale</v>
      </c>
      <c r="E223" s="8" t="str">
        <f>IFERROR(__xludf.DUMMYFUNCTION("""COMPUTED_VALUE"""),"X4297 (Red)")</f>
        <v>X4297 (Red)</v>
      </c>
      <c r="F223" s="8" t="str">
        <f>IFERROR(__xludf.DUMMYFUNCTION("""COMPUTED_VALUE"""),"Cashew")</f>
        <v>Cashew</v>
      </c>
      <c r="G223" s="8" t="str">
        <f>IFERROR(__xludf.DUMMYFUNCTION("""COMPUTED_VALUE"""),"Anacardier")</f>
        <v>Anacardier</v>
      </c>
      <c r="H223" s="8" t="str">
        <f>IFERROR(__xludf.DUMMYFUNCTION("""COMPUTED_VALUE"""),"graft")</f>
        <v>graft</v>
      </c>
      <c r="I223" s="8" t="str">
        <f>IFERROR(__xludf.DUMMYFUNCTION("""COMPUTED_VALUE"""),"C224")</f>
        <v>C224</v>
      </c>
      <c r="J223" s="8" t="str">
        <f>IFERROR(__xludf.DUMMYFUNCTION("""COMPUTED_VALUE"""),"19N08")</f>
        <v>19N08</v>
      </c>
      <c r="K223" s="8"/>
      <c r="L223" s="8">
        <f>IFERROR(__xludf.DUMMYFUNCTION("""COMPUTED_VALUE"""),1.0)</f>
        <v>1</v>
      </c>
      <c r="M223" s="8">
        <f>IFERROR(__xludf.DUMMYFUNCTION("""COMPUTED_VALUE"""),0.0)</f>
        <v>0</v>
      </c>
      <c r="N223" s="8">
        <f>IFERROR(__xludf.DUMMYFUNCTION("""COMPUTED_VALUE"""),22.0)</f>
        <v>22</v>
      </c>
      <c r="O223" s="8"/>
      <c r="P223" s="8"/>
      <c r="Q223" s="8"/>
      <c r="R223" s="8"/>
      <c r="S223" s="8"/>
      <c r="T223" s="8"/>
      <c r="U223" s="8"/>
      <c r="V223" s="8"/>
      <c r="W223" s="8"/>
      <c r="X223" s="8"/>
      <c r="Y223" s="8"/>
      <c r="Z223" s="8"/>
    </row>
    <row r="224">
      <c r="A224" s="8">
        <f>IFERROR(__xludf.DUMMYFUNCTION("""COMPUTED_VALUE"""),225.0)</f>
        <v>225</v>
      </c>
      <c r="B224" s="8" t="str">
        <f>IFERROR(__xludf.DUMMYFUNCTION("""COMPUTED_VALUE"""),"cashew")</f>
        <v>cashew</v>
      </c>
      <c r="C224" s="8" t="str">
        <f>IFERROR(__xludf.DUMMYFUNCTION("""COMPUTED_VALUE"""),"graft")</f>
        <v>graft</v>
      </c>
      <c r="D224" s="55" t="str">
        <f>IFERROR(__xludf.DUMMYFUNCTION("""COMPUTED_VALUE"""),"Anacardium occidentale")</f>
        <v>Anacardium occidentale</v>
      </c>
      <c r="E224" s="8" t="str">
        <f>IFERROR(__xludf.DUMMYFUNCTION("""COMPUTED_VALUE"""),"X4297 (Red)")</f>
        <v>X4297 (Red)</v>
      </c>
      <c r="F224" s="8" t="str">
        <f>IFERROR(__xludf.DUMMYFUNCTION("""COMPUTED_VALUE"""),"Cashew")</f>
        <v>Cashew</v>
      </c>
      <c r="G224" s="8" t="str">
        <f>IFERROR(__xludf.DUMMYFUNCTION("""COMPUTED_VALUE"""),"Anacardier")</f>
        <v>Anacardier</v>
      </c>
      <c r="H224" s="8" t="str">
        <f>IFERROR(__xludf.DUMMYFUNCTION("""COMPUTED_VALUE"""),"graft")</f>
        <v>graft</v>
      </c>
      <c r="I224" s="8" t="str">
        <f>IFERROR(__xludf.DUMMYFUNCTION("""COMPUTED_VALUE"""),"C225")</f>
        <v>C225</v>
      </c>
      <c r="J224" s="8" t="str">
        <f>IFERROR(__xludf.DUMMYFUNCTION("""COMPUTED_VALUE"""),"19N09")</f>
        <v>19N09</v>
      </c>
      <c r="K224" s="8"/>
      <c r="L224" s="8">
        <f>IFERROR(__xludf.DUMMYFUNCTION("""COMPUTED_VALUE"""),1.0)</f>
        <v>1</v>
      </c>
      <c r="M224" s="8">
        <f>IFERROR(__xludf.DUMMYFUNCTION("""COMPUTED_VALUE"""),0.0)</f>
        <v>0</v>
      </c>
      <c r="N224" s="8">
        <f>IFERROR(__xludf.DUMMYFUNCTION("""COMPUTED_VALUE"""),22.0)</f>
        <v>22</v>
      </c>
      <c r="O224" s="8"/>
      <c r="P224" s="8"/>
      <c r="Q224" s="8"/>
      <c r="R224" s="8"/>
      <c r="S224" s="8"/>
      <c r="T224" s="8"/>
      <c r="U224" s="8"/>
      <c r="V224" s="8"/>
      <c r="W224" s="8"/>
      <c r="X224" s="8"/>
      <c r="Y224" s="8"/>
      <c r="Z224" s="8"/>
    </row>
    <row r="225">
      <c r="A225" s="8">
        <f>IFERROR(__xludf.DUMMYFUNCTION("""COMPUTED_VALUE"""),226.0)</f>
        <v>226</v>
      </c>
      <c r="B225" s="8" t="str">
        <f>IFERROR(__xludf.DUMMYFUNCTION("""COMPUTED_VALUE"""),"cashew")</f>
        <v>cashew</v>
      </c>
      <c r="C225" s="8" t="str">
        <f>IFERROR(__xludf.DUMMYFUNCTION("""COMPUTED_VALUE"""),"graft")</f>
        <v>graft</v>
      </c>
      <c r="D225" s="55" t="str">
        <f>IFERROR(__xludf.DUMMYFUNCTION("""COMPUTED_VALUE"""),"Anacardium occidentale")</f>
        <v>Anacardium occidentale</v>
      </c>
      <c r="E225" s="8" t="str">
        <f>IFERROR(__xludf.DUMMYFUNCTION("""COMPUTED_VALUE"""),"X4297 (Red)")</f>
        <v>X4297 (Red)</v>
      </c>
      <c r="F225" s="8" t="str">
        <f>IFERROR(__xludf.DUMMYFUNCTION("""COMPUTED_VALUE"""),"Cashew")</f>
        <v>Cashew</v>
      </c>
      <c r="G225" s="8" t="str">
        <f>IFERROR(__xludf.DUMMYFUNCTION("""COMPUTED_VALUE"""),"Anacardier")</f>
        <v>Anacardier</v>
      </c>
      <c r="H225" s="8" t="str">
        <f>IFERROR(__xludf.DUMMYFUNCTION("""COMPUTED_VALUE"""),"graft")</f>
        <v>graft</v>
      </c>
      <c r="I225" s="8" t="str">
        <f>IFERROR(__xludf.DUMMYFUNCTION("""COMPUTED_VALUE"""),"C226")</f>
        <v>C226</v>
      </c>
      <c r="J225" s="8" t="str">
        <f>IFERROR(__xludf.DUMMYFUNCTION("""COMPUTED_VALUE"""),"19N10")</f>
        <v>19N10</v>
      </c>
      <c r="K225" s="8"/>
      <c r="L225" s="8">
        <f>IFERROR(__xludf.DUMMYFUNCTION("""COMPUTED_VALUE"""),1.0)</f>
        <v>1</v>
      </c>
      <c r="M225" s="8">
        <f>IFERROR(__xludf.DUMMYFUNCTION("""COMPUTED_VALUE"""),0.0)</f>
        <v>0</v>
      </c>
      <c r="N225" s="8">
        <f>IFERROR(__xludf.DUMMYFUNCTION("""COMPUTED_VALUE"""),22.0)</f>
        <v>22</v>
      </c>
      <c r="O225" s="8"/>
      <c r="P225" s="8"/>
      <c r="Q225" s="8"/>
      <c r="R225" s="8"/>
      <c r="S225" s="8"/>
      <c r="T225" s="8"/>
      <c r="U225" s="8"/>
      <c r="V225" s="8"/>
      <c r="W225" s="8"/>
      <c r="X225" s="8"/>
      <c r="Y225" s="8"/>
      <c r="Z225" s="8"/>
    </row>
    <row r="226">
      <c r="A226" s="8">
        <f>IFERROR(__xludf.DUMMYFUNCTION("""COMPUTED_VALUE"""),227.0)</f>
        <v>227</v>
      </c>
      <c r="B226" s="8" t="str">
        <f>IFERROR(__xludf.DUMMYFUNCTION("""COMPUTED_VALUE"""),"cashew")</f>
        <v>cashew</v>
      </c>
      <c r="C226" s="8" t="str">
        <f>IFERROR(__xludf.DUMMYFUNCTION("""COMPUTED_VALUE"""),"graft")</f>
        <v>graft</v>
      </c>
      <c r="D226" s="55" t="str">
        <f>IFERROR(__xludf.DUMMYFUNCTION("""COMPUTED_VALUE"""),"Anacardium occidentale")</f>
        <v>Anacardium occidentale</v>
      </c>
      <c r="E226" s="8" t="str">
        <f>IFERROR(__xludf.DUMMYFUNCTION("""COMPUTED_VALUE"""),"X4297 (Red)")</f>
        <v>X4297 (Red)</v>
      </c>
      <c r="F226" s="8" t="str">
        <f>IFERROR(__xludf.DUMMYFUNCTION("""COMPUTED_VALUE"""),"Cashew")</f>
        <v>Cashew</v>
      </c>
      <c r="G226" s="8" t="str">
        <f>IFERROR(__xludf.DUMMYFUNCTION("""COMPUTED_VALUE"""),"Anacardier")</f>
        <v>Anacardier</v>
      </c>
      <c r="H226" s="8" t="str">
        <f>IFERROR(__xludf.DUMMYFUNCTION("""COMPUTED_VALUE"""),"graft")</f>
        <v>graft</v>
      </c>
      <c r="I226" s="8" t="str">
        <f>IFERROR(__xludf.DUMMYFUNCTION("""COMPUTED_VALUE"""),"C227")</f>
        <v>C227</v>
      </c>
      <c r="J226" s="8" t="str">
        <f>IFERROR(__xludf.DUMMYFUNCTION("""COMPUTED_VALUE"""),"19N11")</f>
        <v>19N11</v>
      </c>
      <c r="K226" s="8"/>
      <c r="L226" s="8">
        <f>IFERROR(__xludf.DUMMYFUNCTION("""COMPUTED_VALUE"""),1.0)</f>
        <v>1</v>
      </c>
      <c r="M226" s="8">
        <f>IFERROR(__xludf.DUMMYFUNCTION("""COMPUTED_VALUE"""),0.0)</f>
        <v>0</v>
      </c>
      <c r="N226" s="8">
        <f>IFERROR(__xludf.DUMMYFUNCTION("""COMPUTED_VALUE"""),22.0)</f>
        <v>22</v>
      </c>
      <c r="O226" s="8"/>
      <c r="P226" s="8"/>
      <c r="Q226" s="8"/>
      <c r="R226" s="8"/>
      <c r="S226" s="8"/>
      <c r="T226" s="8"/>
      <c r="U226" s="8"/>
      <c r="V226" s="8"/>
      <c r="W226" s="8"/>
      <c r="X226" s="8"/>
      <c r="Y226" s="8"/>
      <c r="Z226" s="8"/>
    </row>
    <row r="227">
      <c r="A227" s="8">
        <f>IFERROR(__xludf.DUMMYFUNCTION("""COMPUTED_VALUE"""),228.0)</f>
        <v>228</v>
      </c>
      <c r="B227" s="8" t="str">
        <f>IFERROR(__xludf.DUMMYFUNCTION("""COMPUTED_VALUE"""),"cashew")</f>
        <v>cashew</v>
      </c>
      <c r="C227" s="8" t="str">
        <f>IFERROR(__xludf.DUMMYFUNCTION("""COMPUTED_VALUE"""),"graft")</f>
        <v>graft</v>
      </c>
      <c r="D227" s="55" t="str">
        <f>IFERROR(__xludf.DUMMYFUNCTION("""COMPUTED_VALUE"""),"Anacardium occidentale")</f>
        <v>Anacardium occidentale</v>
      </c>
      <c r="E227" s="8" t="str">
        <f>IFERROR(__xludf.DUMMYFUNCTION("""COMPUTED_VALUE"""),"X4297 (Red)")</f>
        <v>X4297 (Red)</v>
      </c>
      <c r="F227" s="8" t="str">
        <f>IFERROR(__xludf.DUMMYFUNCTION("""COMPUTED_VALUE"""),"Cashew")</f>
        <v>Cashew</v>
      </c>
      <c r="G227" s="8" t="str">
        <f>IFERROR(__xludf.DUMMYFUNCTION("""COMPUTED_VALUE"""),"Anacardier")</f>
        <v>Anacardier</v>
      </c>
      <c r="H227" s="8" t="str">
        <f>IFERROR(__xludf.DUMMYFUNCTION("""COMPUTED_VALUE"""),"graft")</f>
        <v>graft</v>
      </c>
      <c r="I227" s="8" t="str">
        <f>IFERROR(__xludf.DUMMYFUNCTION("""COMPUTED_VALUE"""),"C228")</f>
        <v>C228</v>
      </c>
      <c r="J227" s="8" t="str">
        <f>IFERROR(__xludf.DUMMYFUNCTION("""COMPUTED_VALUE"""),"19N12")</f>
        <v>19N12</v>
      </c>
      <c r="K227" s="8"/>
      <c r="L227" s="8">
        <f>IFERROR(__xludf.DUMMYFUNCTION("""COMPUTED_VALUE"""),1.0)</f>
        <v>1</v>
      </c>
      <c r="M227" s="8">
        <f>IFERROR(__xludf.DUMMYFUNCTION("""COMPUTED_VALUE"""),0.0)</f>
        <v>0</v>
      </c>
      <c r="N227" s="8">
        <f>IFERROR(__xludf.DUMMYFUNCTION("""COMPUTED_VALUE"""),22.0)</f>
        <v>22</v>
      </c>
      <c r="O227" s="8"/>
      <c r="P227" s="8"/>
      <c r="Q227" s="8"/>
      <c r="R227" s="8"/>
      <c r="S227" s="8"/>
      <c r="T227" s="8"/>
      <c r="U227" s="8"/>
      <c r="V227" s="8"/>
      <c r="W227" s="8"/>
      <c r="X227" s="8"/>
      <c r="Y227" s="8"/>
      <c r="Z227" s="8"/>
    </row>
    <row r="228">
      <c r="A228" s="8">
        <f>IFERROR(__xludf.DUMMYFUNCTION("""COMPUTED_VALUE"""),229.0)</f>
        <v>229</v>
      </c>
      <c r="B228" s="8" t="str">
        <f>IFERROR(__xludf.DUMMYFUNCTION("""COMPUTED_VALUE"""),"cashew")</f>
        <v>cashew</v>
      </c>
      <c r="C228" s="8" t="str">
        <f>IFERROR(__xludf.DUMMYFUNCTION("""COMPUTED_VALUE"""),"graft")</f>
        <v>graft</v>
      </c>
      <c r="D228" s="55" t="str">
        <f>IFERROR(__xludf.DUMMYFUNCTION("""COMPUTED_VALUE"""),"Anacardium occidentale")</f>
        <v>Anacardium occidentale</v>
      </c>
      <c r="E228" s="8" t="str">
        <f>IFERROR(__xludf.DUMMYFUNCTION("""COMPUTED_VALUE"""),"X4297 (Red)")</f>
        <v>X4297 (Red)</v>
      </c>
      <c r="F228" s="8" t="str">
        <f>IFERROR(__xludf.DUMMYFUNCTION("""COMPUTED_VALUE"""),"Cashew")</f>
        <v>Cashew</v>
      </c>
      <c r="G228" s="8" t="str">
        <f>IFERROR(__xludf.DUMMYFUNCTION("""COMPUTED_VALUE"""),"Anacardier")</f>
        <v>Anacardier</v>
      </c>
      <c r="H228" s="8" t="str">
        <f>IFERROR(__xludf.DUMMYFUNCTION("""COMPUTED_VALUE"""),"graft")</f>
        <v>graft</v>
      </c>
      <c r="I228" s="8" t="str">
        <f>IFERROR(__xludf.DUMMYFUNCTION("""COMPUTED_VALUE"""),"C229")</f>
        <v>C229</v>
      </c>
      <c r="J228" s="8" t="str">
        <f>IFERROR(__xludf.DUMMYFUNCTION("""COMPUTED_VALUE"""),"19N13")</f>
        <v>19N13</v>
      </c>
      <c r="K228" s="8"/>
      <c r="L228" s="8">
        <f>IFERROR(__xludf.DUMMYFUNCTION("""COMPUTED_VALUE"""),1.0)</f>
        <v>1</v>
      </c>
      <c r="M228" s="8">
        <f>IFERROR(__xludf.DUMMYFUNCTION("""COMPUTED_VALUE"""),0.0)</f>
        <v>0</v>
      </c>
      <c r="N228" s="8">
        <f>IFERROR(__xludf.DUMMYFUNCTION("""COMPUTED_VALUE"""),22.0)</f>
        <v>22</v>
      </c>
      <c r="O228" s="8"/>
      <c r="P228" s="8"/>
      <c r="Q228" s="8"/>
      <c r="R228" s="8"/>
      <c r="S228" s="8"/>
      <c r="T228" s="8"/>
      <c r="U228" s="8"/>
      <c r="V228" s="8"/>
      <c r="W228" s="8"/>
      <c r="X228" s="8"/>
      <c r="Y228" s="8"/>
      <c r="Z228" s="8"/>
    </row>
    <row r="229">
      <c r="A229" s="8">
        <f>IFERROR(__xludf.DUMMYFUNCTION("""COMPUTED_VALUE"""),230.0)</f>
        <v>230</v>
      </c>
      <c r="B229" s="8" t="str">
        <f>IFERROR(__xludf.DUMMYFUNCTION("""COMPUTED_VALUE"""),"cashew")</f>
        <v>cashew</v>
      </c>
      <c r="C229" s="8" t="str">
        <f>IFERROR(__xludf.DUMMYFUNCTION("""COMPUTED_VALUE"""),"graft")</f>
        <v>graft</v>
      </c>
      <c r="D229" s="55" t="str">
        <f>IFERROR(__xludf.DUMMYFUNCTION("""COMPUTED_VALUE"""),"Anacardium occidentale")</f>
        <v>Anacardium occidentale</v>
      </c>
      <c r="E229" s="8" t="str">
        <f>IFERROR(__xludf.DUMMYFUNCTION("""COMPUTED_VALUE"""),"X3264 (Yellow)")</f>
        <v>X3264 (Yellow)</v>
      </c>
      <c r="F229" s="8" t="str">
        <f>IFERROR(__xludf.DUMMYFUNCTION("""COMPUTED_VALUE"""),"Cashew")</f>
        <v>Cashew</v>
      </c>
      <c r="G229" s="8" t="str">
        <f>IFERROR(__xludf.DUMMYFUNCTION("""COMPUTED_VALUE"""),"Anacardier")</f>
        <v>Anacardier</v>
      </c>
      <c r="H229" s="8" t="str">
        <f>IFERROR(__xludf.DUMMYFUNCTION("""COMPUTED_VALUE"""),"graft")</f>
        <v>graft</v>
      </c>
      <c r="I229" s="8" t="str">
        <f>IFERROR(__xludf.DUMMYFUNCTION("""COMPUTED_VALUE"""),"C230")</f>
        <v>C230</v>
      </c>
      <c r="J229" s="8" t="str">
        <f>IFERROR(__xludf.DUMMYFUNCTION("""COMPUTED_VALUE"""),"20N01")</f>
        <v>20N01</v>
      </c>
      <c r="K229" s="8"/>
      <c r="L229" s="8">
        <f>IFERROR(__xludf.DUMMYFUNCTION("""COMPUTED_VALUE"""),1.0)</f>
        <v>1</v>
      </c>
      <c r="M229" s="8">
        <f>IFERROR(__xludf.DUMMYFUNCTION("""COMPUTED_VALUE"""),0.0)</f>
        <v>0</v>
      </c>
      <c r="N229" s="8">
        <f>IFERROR(__xludf.DUMMYFUNCTION("""COMPUTED_VALUE"""),20.0)</f>
        <v>20</v>
      </c>
      <c r="O229" s="8"/>
      <c r="P229" s="8"/>
      <c r="Q229" s="8"/>
      <c r="R229" s="8"/>
      <c r="S229" s="8"/>
      <c r="T229" s="8"/>
      <c r="U229" s="8"/>
      <c r="V229" s="8"/>
      <c r="W229" s="8"/>
      <c r="X229" s="8"/>
      <c r="Y229" s="8"/>
      <c r="Z229" s="8"/>
    </row>
    <row r="230">
      <c r="A230" s="8">
        <f>IFERROR(__xludf.DUMMYFUNCTION("""COMPUTED_VALUE"""),231.0)</f>
        <v>231</v>
      </c>
      <c r="B230" s="8" t="str">
        <f>IFERROR(__xludf.DUMMYFUNCTION("""COMPUTED_VALUE"""),"cashew")</f>
        <v>cashew</v>
      </c>
      <c r="C230" s="8" t="str">
        <f>IFERROR(__xludf.DUMMYFUNCTION("""COMPUTED_VALUE"""),"graft")</f>
        <v>graft</v>
      </c>
      <c r="D230" s="55" t="str">
        <f>IFERROR(__xludf.DUMMYFUNCTION("""COMPUTED_VALUE"""),"Anacardium occidentale")</f>
        <v>Anacardium occidentale</v>
      </c>
      <c r="E230" s="8" t="str">
        <f>IFERROR(__xludf.DUMMYFUNCTION("""COMPUTED_VALUE"""),"X3264 (Yellow)")</f>
        <v>X3264 (Yellow)</v>
      </c>
      <c r="F230" s="8" t="str">
        <f>IFERROR(__xludf.DUMMYFUNCTION("""COMPUTED_VALUE"""),"Cashew")</f>
        <v>Cashew</v>
      </c>
      <c r="G230" s="8" t="str">
        <f>IFERROR(__xludf.DUMMYFUNCTION("""COMPUTED_VALUE"""),"Anacardier")</f>
        <v>Anacardier</v>
      </c>
      <c r="H230" s="8" t="str">
        <f>IFERROR(__xludf.DUMMYFUNCTION("""COMPUTED_VALUE"""),"graft")</f>
        <v>graft</v>
      </c>
      <c r="I230" s="8" t="str">
        <f>IFERROR(__xludf.DUMMYFUNCTION("""COMPUTED_VALUE"""),"C231")</f>
        <v>C231</v>
      </c>
      <c r="J230" s="8" t="str">
        <f>IFERROR(__xludf.DUMMYFUNCTION("""COMPUTED_VALUE"""),"20N02")</f>
        <v>20N02</v>
      </c>
      <c r="K230" s="8"/>
      <c r="L230" s="8">
        <f>IFERROR(__xludf.DUMMYFUNCTION("""COMPUTED_VALUE"""),1.0)</f>
        <v>1</v>
      </c>
      <c r="M230" s="8">
        <f>IFERROR(__xludf.DUMMYFUNCTION("""COMPUTED_VALUE"""),0.0)</f>
        <v>0</v>
      </c>
      <c r="N230" s="8">
        <f>IFERROR(__xludf.DUMMYFUNCTION("""COMPUTED_VALUE"""),20.0)</f>
        <v>20</v>
      </c>
      <c r="O230" s="8"/>
      <c r="P230" s="8"/>
      <c r="Q230" s="8"/>
      <c r="R230" s="8"/>
      <c r="S230" s="8"/>
      <c r="T230" s="8"/>
      <c r="U230" s="8"/>
      <c r="V230" s="8"/>
      <c r="W230" s="8"/>
      <c r="X230" s="8"/>
      <c r="Y230" s="8"/>
      <c r="Z230" s="8"/>
    </row>
    <row r="231">
      <c r="A231" s="8">
        <f>IFERROR(__xludf.DUMMYFUNCTION("""COMPUTED_VALUE"""),232.0)</f>
        <v>232</v>
      </c>
      <c r="B231" s="8" t="str">
        <f>IFERROR(__xludf.DUMMYFUNCTION("""COMPUTED_VALUE"""),"cashew")</f>
        <v>cashew</v>
      </c>
      <c r="C231" s="8" t="str">
        <f>IFERROR(__xludf.DUMMYFUNCTION("""COMPUTED_VALUE"""),"graft")</f>
        <v>graft</v>
      </c>
      <c r="D231" s="55" t="str">
        <f>IFERROR(__xludf.DUMMYFUNCTION("""COMPUTED_VALUE"""),"Anacardium occidentale")</f>
        <v>Anacardium occidentale</v>
      </c>
      <c r="E231" s="8" t="str">
        <f>IFERROR(__xludf.DUMMYFUNCTION("""COMPUTED_VALUE"""),"X3264 (Yellow)")</f>
        <v>X3264 (Yellow)</v>
      </c>
      <c r="F231" s="8" t="str">
        <f>IFERROR(__xludf.DUMMYFUNCTION("""COMPUTED_VALUE"""),"Cashew")</f>
        <v>Cashew</v>
      </c>
      <c r="G231" s="8" t="str">
        <f>IFERROR(__xludf.DUMMYFUNCTION("""COMPUTED_VALUE"""),"Anacardier")</f>
        <v>Anacardier</v>
      </c>
      <c r="H231" s="8" t="str">
        <f>IFERROR(__xludf.DUMMYFUNCTION("""COMPUTED_VALUE"""),"graft")</f>
        <v>graft</v>
      </c>
      <c r="I231" s="8" t="str">
        <f>IFERROR(__xludf.DUMMYFUNCTION("""COMPUTED_VALUE"""),"C232")</f>
        <v>C232</v>
      </c>
      <c r="J231" s="8" t="str">
        <f>IFERROR(__xludf.DUMMYFUNCTION("""COMPUTED_VALUE"""),"20N03")</f>
        <v>20N03</v>
      </c>
      <c r="K231" s="8"/>
      <c r="L231" s="8">
        <f>IFERROR(__xludf.DUMMYFUNCTION("""COMPUTED_VALUE"""),1.0)</f>
        <v>1</v>
      </c>
      <c r="M231" s="8">
        <f>IFERROR(__xludf.DUMMYFUNCTION("""COMPUTED_VALUE"""),0.0)</f>
        <v>0</v>
      </c>
      <c r="N231" s="8">
        <f>IFERROR(__xludf.DUMMYFUNCTION("""COMPUTED_VALUE"""),20.0)</f>
        <v>20</v>
      </c>
      <c r="O231" s="8"/>
      <c r="P231" s="8"/>
      <c r="Q231" s="8"/>
      <c r="R231" s="8"/>
      <c r="S231" s="8"/>
      <c r="T231" s="8"/>
      <c r="U231" s="8"/>
      <c r="V231" s="8"/>
      <c r="W231" s="8"/>
      <c r="X231" s="8"/>
      <c r="Y231" s="8"/>
      <c r="Z231" s="8"/>
    </row>
    <row r="232">
      <c r="A232" s="8">
        <f>IFERROR(__xludf.DUMMYFUNCTION("""COMPUTED_VALUE"""),233.0)</f>
        <v>233</v>
      </c>
      <c r="B232" s="8" t="str">
        <f>IFERROR(__xludf.DUMMYFUNCTION("""COMPUTED_VALUE"""),"cashew")</f>
        <v>cashew</v>
      </c>
      <c r="C232" s="8" t="str">
        <f>IFERROR(__xludf.DUMMYFUNCTION("""COMPUTED_VALUE"""),"graft")</f>
        <v>graft</v>
      </c>
      <c r="D232" s="55" t="str">
        <f>IFERROR(__xludf.DUMMYFUNCTION("""COMPUTED_VALUE"""),"Anacardium occidentale")</f>
        <v>Anacardium occidentale</v>
      </c>
      <c r="E232" s="8" t="str">
        <f>IFERROR(__xludf.DUMMYFUNCTION("""COMPUTED_VALUE"""),"X3264 (Yellow)")</f>
        <v>X3264 (Yellow)</v>
      </c>
      <c r="F232" s="8" t="str">
        <f>IFERROR(__xludf.DUMMYFUNCTION("""COMPUTED_VALUE"""),"Cashew")</f>
        <v>Cashew</v>
      </c>
      <c r="G232" s="8" t="str">
        <f>IFERROR(__xludf.DUMMYFUNCTION("""COMPUTED_VALUE"""),"Anacardier")</f>
        <v>Anacardier</v>
      </c>
      <c r="H232" s="8" t="str">
        <f>IFERROR(__xludf.DUMMYFUNCTION("""COMPUTED_VALUE"""),"graft")</f>
        <v>graft</v>
      </c>
      <c r="I232" s="8" t="str">
        <f>IFERROR(__xludf.DUMMYFUNCTION("""COMPUTED_VALUE"""),"C233")</f>
        <v>C233</v>
      </c>
      <c r="J232" s="8" t="str">
        <f>IFERROR(__xludf.DUMMYFUNCTION("""COMPUTED_VALUE"""),"20N04")</f>
        <v>20N04</v>
      </c>
      <c r="K232" s="8"/>
      <c r="L232" s="8">
        <f>IFERROR(__xludf.DUMMYFUNCTION("""COMPUTED_VALUE"""),1.0)</f>
        <v>1</v>
      </c>
      <c r="M232" s="8">
        <f>IFERROR(__xludf.DUMMYFUNCTION("""COMPUTED_VALUE"""),0.0)</f>
        <v>0</v>
      </c>
      <c r="N232" s="8">
        <f>IFERROR(__xludf.DUMMYFUNCTION("""COMPUTED_VALUE"""),20.0)</f>
        <v>20</v>
      </c>
      <c r="O232" s="8"/>
      <c r="P232" s="8"/>
      <c r="Q232" s="8"/>
      <c r="R232" s="8"/>
      <c r="S232" s="8"/>
      <c r="T232" s="8"/>
      <c r="U232" s="8"/>
      <c r="V232" s="8"/>
      <c r="W232" s="8"/>
      <c r="X232" s="8"/>
      <c r="Y232" s="8"/>
      <c r="Z232" s="8"/>
    </row>
    <row r="233">
      <c r="A233" s="8">
        <f>IFERROR(__xludf.DUMMYFUNCTION("""COMPUTED_VALUE"""),234.0)</f>
        <v>234</v>
      </c>
      <c r="B233" s="8" t="str">
        <f>IFERROR(__xludf.DUMMYFUNCTION("""COMPUTED_VALUE"""),"cashew")</f>
        <v>cashew</v>
      </c>
      <c r="C233" s="8" t="str">
        <f>IFERROR(__xludf.DUMMYFUNCTION("""COMPUTED_VALUE"""),"graft")</f>
        <v>graft</v>
      </c>
      <c r="D233" s="55" t="str">
        <f>IFERROR(__xludf.DUMMYFUNCTION("""COMPUTED_VALUE"""),"Anacardium occidentale")</f>
        <v>Anacardium occidentale</v>
      </c>
      <c r="E233" s="8" t="str">
        <f>IFERROR(__xludf.DUMMYFUNCTION("""COMPUTED_VALUE"""),"X3264 (Yellow)")</f>
        <v>X3264 (Yellow)</v>
      </c>
      <c r="F233" s="8" t="str">
        <f>IFERROR(__xludf.DUMMYFUNCTION("""COMPUTED_VALUE"""),"Cashew")</f>
        <v>Cashew</v>
      </c>
      <c r="G233" s="8" t="str">
        <f>IFERROR(__xludf.DUMMYFUNCTION("""COMPUTED_VALUE"""),"Anacardier")</f>
        <v>Anacardier</v>
      </c>
      <c r="H233" s="8" t="str">
        <f>IFERROR(__xludf.DUMMYFUNCTION("""COMPUTED_VALUE"""),"graft")</f>
        <v>graft</v>
      </c>
      <c r="I233" s="8" t="str">
        <f>IFERROR(__xludf.DUMMYFUNCTION("""COMPUTED_VALUE"""),"C234")</f>
        <v>C234</v>
      </c>
      <c r="J233" s="8" t="str">
        <f>IFERROR(__xludf.DUMMYFUNCTION("""COMPUTED_VALUE"""),"20N05")</f>
        <v>20N05</v>
      </c>
      <c r="K233" s="8"/>
      <c r="L233" s="8">
        <f>IFERROR(__xludf.DUMMYFUNCTION("""COMPUTED_VALUE"""),1.0)</f>
        <v>1</v>
      </c>
      <c r="M233" s="8">
        <f>IFERROR(__xludf.DUMMYFUNCTION("""COMPUTED_VALUE"""),0.0)</f>
        <v>0</v>
      </c>
      <c r="N233" s="8">
        <f>IFERROR(__xludf.DUMMYFUNCTION("""COMPUTED_VALUE"""),20.0)</f>
        <v>20</v>
      </c>
      <c r="O233" s="8"/>
      <c r="P233" s="8"/>
      <c r="Q233" s="8"/>
      <c r="R233" s="8"/>
      <c r="S233" s="8"/>
      <c r="T233" s="8"/>
      <c r="U233" s="8"/>
      <c r="V233" s="8"/>
      <c r="W233" s="8"/>
      <c r="X233" s="8"/>
      <c r="Y233" s="8"/>
      <c r="Z233" s="8"/>
    </row>
    <row r="234">
      <c r="A234" s="8">
        <f>IFERROR(__xludf.DUMMYFUNCTION("""COMPUTED_VALUE"""),235.0)</f>
        <v>235</v>
      </c>
      <c r="B234" s="8" t="str">
        <f>IFERROR(__xludf.DUMMYFUNCTION("""COMPUTED_VALUE"""),"cashew")</f>
        <v>cashew</v>
      </c>
      <c r="C234" s="8" t="str">
        <f>IFERROR(__xludf.DUMMYFUNCTION("""COMPUTED_VALUE"""),"graft")</f>
        <v>graft</v>
      </c>
      <c r="D234" s="55" t="str">
        <f>IFERROR(__xludf.DUMMYFUNCTION("""COMPUTED_VALUE"""),"Anacardium occidentale")</f>
        <v>Anacardium occidentale</v>
      </c>
      <c r="E234" s="8" t="str">
        <f>IFERROR(__xludf.DUMMYFUNCTION("""COMPUTED_VALUE"""),"X3264 (Yellow)")</f>
        <v>X3264 (Yellow)</v>
      </c>
      <c r="F234" s="8" t="str">
        <f>IFERROR(__xludf.DUMMYFUNCTION("""COMPUTED_VALUE"""),"Cashew")</f>
        <v>Cashew</v>
      </c>
      <c r="G234" s="8" t="str">
        <f>IFERROR(__xludf.DUMMYFUNCTION("""COMPUTED_VALUE"""),"Anacardier")</f>
        <v>Anacardier</v>
      </c>
      <c r="H234" s="8" t="str">
        <f>IFERROR(__xludf.DUMMYFUNCTION("""COMPUTED_VALUE"""),"graft")</f>
        <v>graft</v>
      </c>
      <c r="I234" s="8" t="str">
        <f>IFERROR(__xludf.DUMMYFUNCTION("""COMPUTED_VALUE"""),"C235")</f>
        <v>C235</v>
      </c>
      <c r="J234" s="8" t="str">
        <f>IFERROR(__xludf.DUMMYFUNCTION("""COMPUTED_VALUE"""),"20N06")</f>
        <v>20N06</v>
      </c>
      <c r="K234" s="8"/>
      <c r="L234" s="8">
        <f>IFERROR(__xludf.DUMMYFUNCTION("""COMPUTED_VALUE"""),1.0)</f>
        <v>1</v>
      </c>
      <c r="M234" s="8">
        <f>IFERROR(__xludf.DUMMYFUNCTION("""COMPUTED_VALUE"""),0.0)</f>
        <v>0</v>
      </c>
      <c r="N234" s="8">
        <f>IFERROR(__xludf.DUMMYFUNCTION("""COMPUTED_VALUE"""),20.0)</f>
        <v>20</v>
      </c>
      <c r="O234" s="8"/>
      <c r="P234" s="8"/>
      <c r="Q234" s="8"/>
      <c r="R234" s="8"/>
      <c r="S234" s="8"/>
      <c r="T234" s="8"/>
      <c r="U234" s="8"/>
      <c r="V234" s="8"/>
      <c r="W234" s="8"/>
      <c r="X234" s="8"/>
      <c r="Y234" s="8"/>
      <c r="Z234" s="8"/>
    </row>
    <row r="235">
      <c r="A235" s="8">
        <f>IFERROR(__xludf.DUMMYFUNCTION("""COMPUTED_VALUE"""),236.0)</f>
        <v>236</v>
      </c>
      <c r="B235" s="8" t="str">
        <f>IFERROR(__xludf.DUMMYFUNCTION("""COMPUTED_VALUE"""),"cashew")</f>
        <v>cashew</v>
      </c>
      <c r="C235" s="8" t="str">
        <f>IFERROR(__xludf.DUMMYFUNCTION("""COMPUTED_VALUE"""),"graft")</f>
        <v>graft</v>
      </c>
      <c r="D235" s="55" t="str">
        <f>IFERROR(__xludf.DUMMYFUNCTION("""COMPUTED_VALUE"""),"Anacardium occidentale")</f>
        <v>Anacardium occidentale</v>
      </c>
      <c r="E235" s="8" t="str">
        <f>IFERROR(__xludf.DUMMYFUNCTION("""COMPUTED_VALUE"""),"X3264 (Yellow)")</f>
        <v>X3264 (Yellow)</v>
      </c>
      <c r="F235" s="8" t="str">
        <f>IFERROR(__xludf.DUMMYFUNCTION("""COMPUTED_VALUE"""),"Cashew")</f>
        <v>Cashew</v>
      </c>
      <c r="G235" s="8" t="str">
        <f>IFERROR(__xludf.DUMMYFUNCTION("""COMPUTED_VALUE"""),"Anacardier")</f>
        <v>Anacardier</v>
      </c>
      <c r="H235" s="8" t="str">
        <f>IFERROR(__xludf.DUMMYFUNCTION("""COMPUTED_VALUE"""),"graft")</f>
        <v>graft</v>
      </c>
      <c r="I235" s="8" t="str">
        <f>IFERROR(__xludf.DUMMYFUNCTION("""COMPUTED_VALUE"""),"C236")</f>
        <v>C236</v>
      </c>
      <c r="J235" s="8" t="str">
        <f>IFERROR(__xludf.DUMMYFUNCTION("""COMPUTED_VALUE"""),"20N08")</f>
        <v>20N08</v>
      </c>
      <c r="K235" s="8"/>
      <c r="L235" s="8">
        <f>IFERROR(__xludf.DUMMYFUNCTION("""COMPUTED_VALUE"""),1.0)</f>
        <v>1</v>
      </c>
      <c r="M235" s="8">
        <f>IFERROR(__xludf.DUMMYFUNCTION("""COMPUTED_VALUE"""),0.0)</f>
        <v>0</v>
      </c>
      <c r="N235" s="8">
        <f>IFERROR(__xludf.DUMMYFUNCTION("""COMPUTED_VALUE"""),20.0)</f>
        <v>20</v>
      </c>
      <c r="O235" s="8"/>
      <c r="P235" s="8"/>
      <c r="Q235" s="8"/>
      <c r="R235" s="8"/>
      <c r="S235" s="8"/>
      <c r="T235" s="8"/>
      <c r="U235" s="8"/>
      <c r="V235" s="8"/>
      <c r="W235" s="8"/>
      <c r="X235" s="8"/>
      <c r="Y235" s="8"/>
      <c r="Z235" s="8"/>
    </row>
    <row r="236">
      <c r="A236" s="8">
        <f>IFERROR(__xludf.DUMMYFUNCTION("""COMPUTED_VALUE"""),237.0)</f>
        <v>237</v>
      </c>
      <c r="B236" s="8" t="str">
        <f>IFERROR(__xludf.DUMMYFUNCTION("""COMPUTED_VALUE"""),"cashew")</f>
        <v>cashew</v>
      </c>
      <c r="C236" s="8" t="str">
        <f>IFERROR(__xludf.DUMMYFUNCTION("""COMPUTED_VALUE"""),"graft")</f>
        <v>graft</v>
      </c>
      <c r="D236" s="55" t="str">
        <f>IFERROR(__xludf.DUMMYFUNCTION("""COMPUTED_VALUE"""),"Anacardium occidentale")</f>
        <v>Anacardium occidentale</v>
      </c>
      <c r="E236" s="8" t="str">
        <f>IFERROR(__xludf.DUMMYFUNCTION("""COMPUTED_VALUE"""),"X3264 (Yellow)")</f>
        <v>X3264 (Yellow)</v>
      </c>
      <c r="F236" s="8" t="str">
        <f>IFERROR(__xludf.DUMMYFUNCTION("""COMPUTED_VALUE"""),"Cashew")</f>
        <v>Cashew</v>
      </c>
      <c r="G236" s="8" t="str">
        <f>IFERROR(__xludf.DUMMYFUNCTION("""COMPUTED_VALUE"""),"Anacardier")</f>
        <v>Anacardier</v>
      </c>
      <c r="H236" s="8" t="str">
        <f>IFERROR(__xludf.DUMMYFUNCTION("""COMPUTED_VALUE"""),"graft")</f>
        <v>graft</v>
      </c>
      <c r="I236" s="8" t="str">
        <f>IFERROR(__xludf.DUMMYFUNCTION("""COMPUTED_VALUE"""),"C237")</f>
        <v>C237</v>
      </c>
      <c r="J236" s="8" t="str">
        <f>IFERROR(__xludf.DUMMYFUNCTION("""COMPUTED_VALUE"""),"20N09")</f>
        <v>20N09</v>
      </c>
      <c r="K236" s="8"/>
      <c r="L236" s="8">
        <f>IFERROR(__xludf.DUMMYFUNCTION("""COMPUTED_VALUE"""),1.0)</f>
        <v>1</v>
      </c>
      <c r="M236" s="8">
        <f>IFERROR(__xludf.DUMMYFUNCTION("""COMPUTED_VALUE"""),0.0)</f>
        <v>0</v>
      </c>
      <c r="N236" s="8">
        <f>IFERROR(__xludf.DUMMYFUNCTION("""COMPUTED_VALUE"""),20.0)</f>
        <v>20</v>
      </c>
      <c r="O236" s="8"/>
      <c r="P236" s="8"/>
      <c r="Q236" s="8"/>
      <c r="R236" s="8"/>
      <c r="S236" s="8"/>
      <c r="T236" s="8"/>
      <c r="U236" s="8"/>
      <c r="V236" s="8"/>
      <c r="W236" s="8"/>
      <c r="X236" s="8"/>
      <c r="Y236" s="8"/>
      <c r="Z236" s="8"/>
    </row>
    <row r="237">
      <c r="A237" s="8">
        <f>IFERROR(__xludf.DUMMYFUNCTION("""COMPUTED_VALUE"""),238.0)</f>
        <v>238</v>
      </c>
      <c r="B237" s="8" t="str">
        <f>IFERROR(__xludf.DUMMYFUNCTION("""COMPUTED_VALUE"""),"cashew")</f>
        <v>cashew</v>
      </c>
      <c r="C237" s="8" t="str">
        <f>IFERROR(__xludf.DUMMYFUNCTION("""COMPUTED_VALUE"""),"graft")</f>
        <v>graft</v>
      </c>
      <c r="D237" s="55" t="str">
        <f>IFERROR(__xludf.DUMMYFUNCTION("""COMPUTED_VALUE"""),"Anacardium occidentale")</f>
        <v>Anacardium occidentale</v>
      </c>
      <c r="E237" s="8" t="str">
        <f>IFERROR(__xludf.DUMMYFUNCTION("""COMPUTED_VALUE"""),"X3264 (Yellow)")</f>
        <v>X3264 (Yellow)</v>
      </c>
      <c r="F237" s="8" t="str">
        <f>IFERROR(__xludf.DUMMYFUNCTION("""COMPUTED_VALUE"""),"Cashew")</f>
        <v>Cashew</v>
      </c>
      <c r="G237" s="8" t="str">
        <f>IFERROR(__xludf.DUMMYFUNCTION("""COMPUTED_VALUE"""),"Anacardier")</f>
        <v>Anacardier</v>
      </c>
      <c r="H237" s="8" t="str">
        <f>IFERROR(__xludf.DUMMYFUNCTION("""COMPUTED_VALUE"""),"graft")</f>
        <v>graft</v>
      </c>
      <c r="I237" s="8" t="str">
        <f>IFERROR(__xludf.DUMMYFUNCTION("""COMPUTED_VALUE"""),"C238")</f>
        <v>C238</v>
      </c>
      <c r="J237" s="8" t="str">
        <f>IFERROR(__xludf.DUMMYFUNCTION("""COMPUTED_VALUE"""),"20N10")</f>
        <v>20N10</v>
      </c>
      <c r="K237" s="8"/>
      <c r="L237" s="8">
        <f>IFERROR(__xludf.DUMMYFUNCTION("""COMPUTED_VALUE"""),1.0)</f>
        <v>1</v>
      </c>
      <c r="M237" s="8">
        <f>IFERROR(__xludf.DUMMYFUNCTION("""COMPUTED_VALUE"""),0.0)</f>
        <v>0</v>
      </c>
      <c r="N237" s="8">
        <f>IFERROR(__xludf.DUMMYFUNCTION("""COMPUTED_VALUE"""),20.0)</f>
        <v>20</v>
      </c>
      <c r="O237" s="8"/>
      <c r="P237" s="8"/>
      <c r="Q237" s="8"/>
      <c r="R237" s="8"/>
      <c r="S237" s="8"/>
      <c r="T237" s="8"/>
      <c r="U237" s="8"/>
      <c r="V237" s="8"/>
      <c r="W237" s="8"/>
      <c r="X237" s="8"/>
      <c r="Y237" s="8"/>
      <c r="Z237" s="8"/>
    </row>
    <row r="238">
      <c r="A238" s="8">
        <f>IFERROR(__xludf.DUMMYFUNCTION("""COMPUTED_VALUE"""),239.0)</f>
        <v>239</v>
      </c>
      <c r="B238" s="8" t="str">
        <f>IFERROR(__xludf.DUMMYFUNCTION("""COMPUTED_VALUE"""),"cashew")</f>
        <v>cashew</v>
      </c>
      <c r="C238" s="8" t="str">
        <f>IFERROR(__xludf.DUMMYFUNCTION("""COMPUTED_VALUE"""),"graft")</f>
        <v>graft</v>
      </c>
      <c r="D238" s="55" t="str">
        <f>IFERROR(__xludf.DUMMYFUNCTION("""COMPUTED_VALUE"""),"Anacardium occidentale")</f>
        <v>Anacardium occidentale</v>
      </c>
      <c r="E238" s="8" t="str">
        <f>IFERROR(__xludf.DUMMYFUNCTION("""COMPUTED_VALUE"""),"X3264 (Yellow)")</f>
        <v>X3264 (Yellow)</v>
      </c>
      <c r="F238" s="8" t="str">
        <f>IFERROR(__xludf.DUMMYFUNCTION("""COMPUTED_VALUE"""),"Cashew")</f>
        <v>Cashew</v>
      </c>
      <c r="G238" s="8" t="str">
        <f>IFERROR(__xludf.DUMMYFUNCTION("""COMPUTED_VALUE"""),"Anacardier")</f>
        <v>Anacardier</v>
      </c>
      <c r="H238" s="8" t="str">
        <f>IFERROR(__xludf.DUMMYFUNCTION("""COMPUTED_VALUE"""),"graft")</f>
        <v>graft</v>
      </c>
      <c r="I238" s="8" t="str">
        <f>IFERROR(__xludf.DUMMYFUNCTION("""COMPUTED_VALUE"""),"C239")</f>
        <v>C239</v>
      </c>
      <c r="J238" s="8" t="str">
        <f>IFERROR(__xludf.DUMMYFUNCTION("""COMPUTED_VALUE"""),"20N11")</f>
        <v>20N11</v>
      </c>
      <c r="K238" s="8"/>
      <c r="L238" s="8">
        <f>IFERROR(__xludf.DUMMYFUNCTION("""COMPUTED_VALUE"""),1.0)</f>
        <v>1</v>
      </c>
      <c r="M238" s="8">
        <f>IFERROR(__xludf.DUMMYFUNCTION("""COMPUTED_VALUE"""),0.0)</f>
        <v>0</v>
      </c>
      <c r="N238" s="8">
        <f>IFERROR(__xludf.DUMMYFUNCTION("""COMPUTED_VALUE"""),20.0)</f>
        <v>20</v>
      </c>
      <c r="O238" s="8"/>
      <c r="P238" s="8"/>
      <c r="Q238" s="8"/>
      <c r="R238" s="8"/>
      <c r="S238" s="8"/>
      <c r="T238" s="8"/>
      <c r="U238" s="8"/>
      <c r="V238" s="8"/>
      <c r="W238" s="8"/>
      <c r="X238" s="8"/>
      <c r="Y238" s="8"/>
      <c r="Z238" s="8"/>
    </row>
    <row r="239">
      <c r="A239" s="8">
        <f>IFERROR(__xludf.DUMMYFUNCTION("""COMPUTED_VALUE"""),240.0)</f>
        <v>240</v>
      </c>
      <c r="B239" s="8" t="str">
        <f>IFERROR(__xludf.DUMMYFUNCTION("""COMPUTED_VALUE"""),"cashew")</f>
        <v>cashew</v>
      </c>
      <c r="C239" s="8" t="str">
        <f>IFERROR(__xludf.DUMMYFUNCTION("""COMPUTED_VALUE"""),"graft")</f>
        <v>graft</v>
      </c>
      <c r="D239" s="55" t="str">
        <f>IFERROR(__xludf.DUMMYFUNCTION("""COMPUTED_VALUE"""),"Anacardium occidentale")</f>
        <v>Anacardium occidentale</v>
      </c>
      <c r="E239" s="8" t="str">
        <f>IFERROR(__xludf.DUMMYFUNCTION("""COMPUTED_VALUE"""),"X3264 (Yellow)")</f>
        <v>X3264 (Yellow)</v>
      </c>
      <c r="F239" s="8" t="str">
        <f>IFERROR(__xludf.DUMMYFUNCTION("""COMPUTED_VALUE"""),"Cashew")</f>
        <v>Cashew</v>
      </c>
      <c r="G239" s="8" t="str">
        <f>IFERROR(__xludf.DUMMYFUNCTION("""COMPUTED_VALUE"""),"Anacardier")</f>
        <v>Anacardier</v>
      </c>
      <c r="H239" s="8" t="str">
        <f>IFERROR(__xludf.DUMMYFUNCTION("""COMPUTED_VALUE"""),"graft")</f>
        <v>graft</v>
      </c>
      <c r="I239" s="8" t="str">
        <f>IFERROR(__xludf.DUMMYFUNCTION("""COMPUTED_VALUE"""),"C240")</f>
        <v>C240</v>
      </c>
      <c r="J239" s="8" t="str">
        <f>IFERROR(__xludf.DUMMYFUNCTION("""COMPUTED_VALUE"""),"20N12")</f>
        <v>20N12</v>
      </c>
      <c r="K239" s="8"/>
      <c r="L239" s="8">
        <f>IFERROR(__xludf.DUMMYFUNCTION("""COMPUTED_VALUE"""),1.0)</f>
        <v>1</v>
      </c>
      <c r="M239" s="8">
        <f>IFERROR(__xludf.DUMMYFUNCTION("""COMPUTED_VALUE"""),0.0)</f>
        <v>0</v>
      </c>
      <c r="N239" s="8">
        <f>IFERROR(__xludf.DUMMYFUNCTION("""COMPUTED_VALUE"""),20.0)</f>
        <v>20</v>
      </c>
      <c r="O239" s="8"/>
      <c r="P239" s="8"/>
      <c r="Q239" s="8"/>
      <c r="R239" s="8"/>
      <c r="S239" s="8"/>
      <c r="T239" s="8"/>
      <c r="U239" s="8"/>
      <c r="V239" s="8"/>
      <c r="W239" s="8"/>
      <c r="X239" s="8"/>
      <c r="Y239" s="8"/>
      <c r="Z239" s="8"/>
    </row>
    <row r="240">
      <c r="A240" s="8">
        <f>IFERROR(__xludf.DUMMYFUNCTION("""COMPUTED_VALUE"""),241.0)</f>
        <v>241</v>
      </c>
      <c r="B240" s="8" t="str">
        <f>IFERROR(__xludf.DUMMYFUNCTION("""COMPUTED_VALUE"""),"cashew")</f>
        <v>cashew</v>
      </c>
      <c r="C240" s="8" t="str">
        <f>IFERROR(__xludf.DUMMYFUNCTION("""COMPUTED_VALUE"""),"graft")</f>
        <v>graft</v>
      </c>
      <c r="D240" s="55" t="str">
        <f>IFERROR(__xludf.DUMMYFUNCTION("""COMPUTED_VALUE"""),"Anacardium occidentale")</f>
        <v>Anacardium occidentale</v>
      </c>
      <c r="E240" s="8" t="str">
        <f>IFERROR(__xludf.DUMMYFUNCTION("""COMPUTED_VALUE"""),"X3264 (Yellow)")</f>
        <v>X3264 (Yellow)</v>
      </c>
      <c r="F240" s="8" t="str">
        <f>IFERROR(__xludf.DUMMYFUNCTION("""COMPUTED_VALUE"""),"Cashew")</f>
        <v>Cashew</v>
      </c>
      <c r="G240" s="8" t="str">
        <f>IFERROR(__xludf.DUMMYFUNCTION("""COMPUTED_VALUE"""),"Anacardier")</f>
        <v>Anacardier</v>
      </c>
      <c r="H240" s="8" t="str">
        <f>IFERROR(__xludf.DUMMYFUNCTION("""COMPUTED_VALUE"""),"graft")</f>
        <v>graft</v>
      </c>
      <c r="I240" s="8" t="str">
        <f>IFERROR(__xludf.DUMMYFUNCTION("""COMPUTED_VALUE"""),"C241")</f>
        <v>C241</v>
      </c>
      <c r="J240" s="8" t="str">
        <f>IFERROR(__xludf.DUMMYFUNCTION("""COMPUTED_VALUE"""),"20N13")</f>
        <v>20N13</v>
      </c>
      <c r="K240" s="8"/>
      <c r="L240" s="8">
        <f>IFERROR(__xludf.DUMMYFUNCTION("""COMPUTED_VALUE"""),1.0)</f>
        <v>1</v>
      </c>
      <c r="M240" s="8">
        <f>IFERROR(__xludf.DUMMYFUNCTION("""COMPUTED_VALUE"""),0.0)</f>
        <v>0</v>
      </c>
      <c r="N240" s="8">
        <f>IFERROR(__xludf.DUMMYFUNCTION("""COMPUTED_VALUE"""),20.0)</f>
        <v>20</v>
      </c>
      <c r="O240" s="8"/>
      <c r="P240" s="8"/>
      <c r="Q240" s="8"/>
      <c r="R240" s="8"/>
      <c r="S240" s="8"/>
      <c r="T240" s="8"/>
      <c r="U240" s="8"/>
      <c r="V240" s="8"/>
      <c r="W240" s="8"/>
      <c r="X240" s="8"/>
      <c r="Y240" s="8"/>
      <c r="Z240" s="8"/>
    </row>
    <row r="241">
      <c r="A241" s="8">
        <f>IFERROR(__xludf.DUMMYFUNCTION("""COMPUTED_VALUE"""),242.0)</f>
        <v>242</v>
      </c>
      <c r="B241" s="8" t="str">
        <f>IFERROR(__xludf.DUMMYFUNCTION("""COMPUTED_VALUE"""),"cashew")</f>
        <v>cashew</v>
      </c>
      <c r="C241" s="8" t="str">
        <f>IFERROR(__xludf.DUMMYFUNCTION("""COMPUTED_VALUE"""),"graft")</f>
        <v>graft</v>
      </c>
      <c r="D241" s="55" t="str">
        <f>IFERROR(__xludf.DUMMYFUNCTION("""COMPUTED_VALUE"""),"Anacardium occidentale")</f>
        <v>Anacardium occidentale</v>
      </c>
      <c r="E241" s="8" t="str">
        <f>IFERROR(__xludf.DUMMYFUNCTION("""COMPUTED_VALUE"""),"Unknown")</f>
        <v>Unknown</v>
      </c>
      <c r="F241" s="8" t="str">
        <f>IFERROR(__xludf.DUMMYFUNCTION("""COMPUTED_VALUE"""),"Cashew")</f>
        <v>Cashew</v>
      </c>
      <c r="G241" s="8" t="str">
        <f>IFERROR(__xludf.DUMMYFUNCTION("""COMPUTED_VALUE"""),"Anacardier")</f>
        <v>Anacardier</v>
      </c>
      <c r="H241" s="8" t="str">
        <f>IFERROR(__xludf.DUMMYFUNCTION("""COMPUTED_VALUE"""),"graft")</f>
        <v>graft</v>
      </c>
      <c r="I241" s="8" t="str">
        <f>IFERROR(__xludf.DUMMYFUNCTION("""COMPUTED_VALUE"""),"C242")</f>
        <v>C242</v>
      </c>
      <c r="J241" s="8" t="str">
        <f>IFERROR(__xludf.DUMMYFUNCTION("""COMPUTED_VALUE"""),"21N01")</f>
        <v>21N01</v>
      </c>
      <c r="K241" s="8"/>
      <c r="L241" s="8">
        <f>IFERROR(__xludf.DUMMYFUNCTION("""COMPUTED_VALUE"""),1.0)</f>
        <v>1</v>
      </c>
      <c r="M241" s="8">
        <f>IFERROR(__xludf.DUMMYFUNCTION("""COMPUTED_VALUE"""),0.0)</f>
        <v>0</v>
      </c>
      <c r="N241" s="8">
        <f>IFERROR(__xludf.DUMMYFUNCTION("""COMPUTED_VALUE"""),12.0)</f>
        <v>12</v>
      </c>
      <c r="O241" s="8"/>
      <c r="P241" s="8"/>
      <c r="Q241" s="8"/>
      <c r="R241" s="8"/>
      <c r="S241" s="8"/>
      <c r="T241" s="8"/>
      <c r="U241" s="8"/>
      <c r="V241" s="8"/>
      <c r="W241" s="8"/>
      <c r="X241" s="8"/>
      <c r="Y241" s="8"/>
      <c r="Z241" s="8"/>
    </row>
    <row r="242">
      <c r="A242" s="8">
        <f>IFERROR(__xludf.DUMMYFUNCTION("""COMPUTED_VALUE"""),243.0)</f>
        <v>243</v>
      </c>
      <c r="B242" s="8" t="str">
        <f>IFERROR(__xludf.DUMMYFUNCTION("""COMPUTED_VALUE"""),"cashew")</f>
        <v>cashew</v>
      </c>
      <c r="C242" s="8" t="str">
        <f>IFERROR(__xludf.DUMMYFUNCTION("""COMPUTED_VALUE"""),"graft")</f>
        <v>graft</v>
      </c>
      <c r="D242" s="55" t="str">
        <f>IFERROR(__xludf.DUMMYFUNCTION("""COMPUTED_VALUE"""),"Anacardium occidentale")</f>
        <v>Anacardium occidentale</v>
      </c>
      <c r="E242" s="8" t="str">
        <f>IFERROR(__xludf.DUMMYFUNCTION("""COMPUTED_VALUE"""),"Unknown")</f>
        <v>Unknown</v>
      </c>
      <c r="F242" s="8" t="str">
        <f>IFERROR(__xludf.DUMMYFUNCTION("""COMPUTED_VALUE"""),"Cashew")</f>
        <v>Cashew</v>
      </c>
      <c r="G242" s="8" t="str">
        <f>IFERROR(__xludf.DUMMYFUNCTION("""COMPUTED_VALUE"""),"Anacardier")</f>
        <v>Anacardier</v>
      </c>
      <c r="H242" s="8" t="str">
        <f>IFERROR(__xludf.DUMMYFUNCTION("""COMPUTED_VALUE"""),"graft")</f>
        <v>graft</v>
      </c>
      <c r="I242" s="8" t="str">
        <f>IFERROR(__xludf.DUMMYFUNCTION("""COMPUTED_VALUE"""),"C243")</f>
        <v>C243</v>
      </c>
      <c r="J242" s="8" t="str">
        <f>IFERROR(__xludf.DUMMYFUNCTION("""COMPUTED_VALUE"""),"21N02")</f>
        <v>21N02</v>
      </c>
      <c r="K242" s="8"/>
      <c r="L242" s="8">
        <f>IFERROR(__xludf.DUMMYFUNCTION("""COMPUTED_VALUE"""),1.0)</f>
        <v>1</v>
      </c>
      <c r="M242" s="8">
        <f>IFERROR(__xludf.DUMMYFUNCTION("""COMPUTED_VALUE"""),0.0)</f>
        <v>0</v>
      </c>
      <c r="N242" s="8">
        <f>IFERROR(__xludf.DUMMYFUNCTION("""COMPUTED_VALUE"""),12.0)</f>
        <v>12</v>
      </c>
      <c r="O242" s="8"/>
      <c r="P242" s="8"/>
      <c r="Q242" s="8"/>
      <c r="R242" s="8"/>
      <c r="S242" s="8"/>
      <c r="T242" s="8"/>
      <c r="U242" s="8"/>
      <c r="V242" s="8"/>
      <c r="W242" s="8"/>
      <c r="X242" s="8"/>
      <c r="Y242" s="8"/>
      <c r="Z242" s="8"/>
    </row>
    <row r="243">
      <c r="A243" s="8">
        <f>IFERROR(__xludf.DUMMYFUNCTION("""COMPUTED_VALUE"""),244.0)</f>
        <v>244</v>
      </c>
      <c r="B243" s="8" t="str">
        <f>IFERROR(__xludf.DUMMYFUNCTION("""COMPUTED_VALUE"""),"cashew")</f>
        <v>cashew</v>
      </c>
      <c r="C243" s="8" t="str">
        <f>IFERROR(__xludf.DUMMYFUNCTION("""COMPUTED_VALUE"""),"graft")</f>
        <v>graft</v>
      </c>
      <c r="D243" s="55" t="str">
        <f>IFERROR(__xludf.DUMMYFUNCTION("""COMPUTED_VALUE"""),"Anacardium occidentale")</f>
        <v>Anacardium occidentale</v>
      </c>
      <c r="E243" s="8" t="str">
        <f>IFERROR(__xludf.DUMMYFUNCTION("""COMPUTED_VALUE"""),"Unknown")</f>
        <v>Unknown</v>
      </c>
      <c r="F243" s="8" t="str">
        <f>IFERROR(__xludf.DUMMYFUNCTION("""COMPUTED_VALUE"""),"Cashew")</f>
        <v>Cashew</v>
      </c>
      <c r="G243" s="8" t="str">
        <f>IFERROR(__xludf.DUMMYFUNCTION("""COMPUTED_VALUE"""),"Anacardier")</f>
        <v>Anacardier</v>
      </c>
      <c r="H243" s="8" t="str">
        <f>IFERROR(__xludf.DUMMYFUNCTION("""COMPUTED_VALUE"""),"graft")</f>
        <v>graft</v>
      </c>
      <c r="I243" s="8" t="str">
        <f>IFERROR(__xludf.DUMMYFUNCTION("""COMPUTED_VALUE"""),"C244")</f>
        <v>C244</v>
      </c>
      <c r="J243" s="8" t="str">
        <f>IFERROR(__xludf.DUMMYFUNCTION("""COMPUTED_VALUE"""),"21N03")</f>
        <v>21N03</v>
      </c>
      <c r="K243" s="8"/>
      <c r="L243" s="8">
        <f>IFERROR(__xludf.DUMMYFUNCTION("""COMPUTED_VALUE"""),1.0)</f>
        <v>1</v>
      </c>
      <c r="M243" s="8">
        <f>IFERROR(__xludf.DUMMYFUNCTION("""COMPUTED_VALUE"""),0.0)</f>
        <v>0</v>
      </c>
      <c r="N243" s="8">
        <f>IFERROR(__xludf.DUMMYFUNCTION("""COMPUTED_VALUE"""),12.0)</f>
        <v>12</v>
      </c>
      <c r="O243" s="8"/>
      <c r="P243" s="8"/>
      <c r="Q243" s="8"/>
      <c r="R243" s="8"/>
      <c r="S243" s="8"/>
      <c r="T243" s="8"/>
      <c r="U243" s="8"/>
      <c r="V243" s="8"/>
      <c r="W243" s="8"/>
      <c r="X243" s="8"/>
      <c r="Y243" s="8"/>
      <c r="Z243" s="8"/>
    </row>
    <row r="244">
      <c r="A244" s="8">
        <f>IFERROR(__xludf.DUMMYFUNCTION("""COMPUTED_VALUE"""),245.0)</f>
        <v>245</v>
      </c>
      <c r="B244" s="8" t="str">
        <f>IFERROR(__xludf.DUMMYFUNCTION("""COMPUTED_VALUE"""),"cashew")</f>
        <v>cashew</v>
      </c>
      <c r="C244" s="8" t="str">
        <f>IFERROR(__xludf.DUMMYFUNCTION("""COMPUTED_VALUE"""),"graft")</f>
        <v>graft</v>
      </c>
      <c r="D244" s="55" t="str">
        <f>IFERROR(__xludf.DUMMYFUNCTION("""COMPUTED_VALUE"""),"Anacardium occidentale")</f>
        <v>Anacardium occidentale</v>
      </c>
      <c r="E244" s="8" t="str">
        <f>IFERROR(__xludf.DUMMYFUNCTION("""COMPUTED_VALUE"""),"Unknown")</f>
        <v>Unknown</v>
      </c>
      <c r="F244" s="8" t="str">
        <f>IFERROR(__xludf.DUMMYFUNCTION("""COMPUTED_VALUE"""),"Cashew")</f>
        <v>Cashew</v>
      </c>
      <c r="G244" s="8" t="str">
        <f>IFERROR(__xludf.DUMMYFUNCTION("""COMPUTED_VALUE"""),"Anacardier")</f>
        <v>Anacardier</v>
      </c>
      <c r="H244" s="8" t="str">
        <f>IFERROR(__xludf.DUMMYFUNCTION("""COMPUTED_VALUE"""),"graft")</f>
        <v>graft</v>
      </c>
      <c r="I244" s="8" t="str">
        <f>IFERROR(__xludf.DUMMYFUNCTION("""COMPUTED_VALUE"""),"C245")</f>
        <v>C245</v>
      </c>
      <c r="J244" s="8" t="str">
        <f>IFERROR(__xludf.DUMMYFUNCTION("""COMPUTED_VALUE"""),"21N04")</f>
        <v>21N04</v>
      </c>
      <c r="K244" s="8"/>
      <c r="L244" s="8">
        <f>IFERROR(__xludf.DUMMYFUNCTION("""COMPUTED_VALUE"""),1.0)</f>
        <v>1</v>
      </c>
      <c r="M244" s="8">
        <f>IFERROR(__xludf.DUMMYFUNCTION("""COMPUTED_VALUE"""),0.0)</f>
        <v>0</v>
      </c>
      <c r="N244" s="8">
        <f>IFERROR(__xludf.DUMMYFUNCTION("""COMPUTED_VALUE"""),12.0)</f>
        <v>12</v>
      </c>
      <c r="O244" s="8"/>
      <c r="P244" s="8"/>
      <c r="Q244" s="8"/>
      <c r="R244" s="8"/>
      <c r="S244" s="8"/>
      <c r="T244" s="8"/>
      <c r="U244" s="8"/>
      <c r="V244" s="8"/>
      <c r="W244" s="8"/>
      <c r="X244" s="8"/>
      <c r="Y244" s="8"/>
      <c r="Z244" s="8"/>
    </row>
    <row r="245">
      <c r="A245" s="8">
        <f>IFERROR(__xludf.DUMMYFUNCTION("""COMPUTED_VALUE"""),246.0)</f>
        <v>246</v>
      </c>
      <c r="B245" s="8" t="str">
        <f>IFERROR(__xludf.DUMMYFUNCTION("""COMPUTED_VALUE"""),"cashew")</f>
        <v>cashew</v>
      </c>
      <c r="C245" s="8" t="str">
        <f>IFERROR(__xludf.DUMMYFUNCTION("""COMPUTED_VALUE"""),"graft")</f>
        <v>graft</v>
      </c>
      <c r="D245" s="55" t="str">
        <f>IFERROR(__xludf.DUMMYFUNCTION("""COMPUTED_VALUE"""),"Anacardium occidentale")</f>
        <v>Anacardium occidentale</v>
      </c>
      <c r="E245" s="8" t="str">
        <f>IFERROR(__xludf.DUMMYFUNCTION("""COMPUTED_VALUE"""),"Unknown")</f>
        <v>Unknown</v>
      </c>
      <c r="F245" s="8" t="str">
        <f>IFERROR(__xludf.DUMMYFUNCTION("""COMPUTED_VALUE"""),"Cashew")</f>
        <v>Cashew</v>
      </c>
      <c r="G245" s="8" t="str">
        <f>IFERROR(__xludf.DUMMYFUNCTION("""COMPUTED_VALUE"""),"Anacardier")</f>
        <v>Anacardier</v>
      </c>
      <c r="H245" s="8" t="str">
        <f>IFERROR(__xludf.DUMMYFUNCTION("""COMPUTED_VALUE"""),"graft")</f>
        <v>graft</v>
      </c>
      <c r="I245" s="8" t="str">
        <f>IFERROR(__xludf.DUMMYFUNCTION("""COMPUTED_VALUE"""),"C246")</f>
        <v>C246</v>
      </c>
      <c r="J245" s="8" t="str">
        <f>IFERROR(__xludf.DUMMYFUNCTION("""COMPUTED_VALUE"""),"21N05")</f>
        <v>21N05</v>
      </c>
      <c r="K245" s="8"/>
      <c r="L245" s="8">
        <f>IFERROR(__xludf.DUMMYFUNCTION("""COMPUTED_VALUE"""),1.0)</f>
        <v>1</v>
      </c>
      <c r="M245" s="8">
        <f>IFERROR(__xludf.DUMMYFUNCTION("""COMPUTED_VALUE"""),0.0)</f>
        <v>0</v>
      </c>
      <c r="N245" s="8">
        <f>IFERROR(__xludf.DUMMYFUNCTION("""COMPUTED_VALUE"""),12.0)</f>
        <v>12</v>
      </c>
      <c r="O245" s="8"/>
      <c r="P245" s="8"/>
      <c r="Q245" s="8"/>
      <c r="R245" s="8"/>
      <c r="S245" s="8"/>
      <c r="T245" s="8"/>
      <c r="U245" s="8"/>
      <c r="V245" s="8"/>
      <c r="W245" s="8"/>
      <c r="X245" s="8"/>
      <c r="Y245" s="8"/>
      <c r="Z245" s="8"/>
    </row>
    <row r="246">
      <c r="A246" s="8">
        <f>IFERROR(__xludf.DUMMYFUNCTION("""COMPUTED_VALUE"""),247.0)</f>
        <v>247</v>
      </c>
      <c r="B246" s="8" t="str">
        <f>IFERROR(__xludf.DUMMYFUNCTION("""COMPUTED_VALUE"""),"cashew")</f>
        <v>cashew</v>
      </c>
      <c r="C246" s="8" t="str">
        <f>IFERROR(__xludf.DUMMYFUNCTION("""COMPUTED_VALUE"""),"graft")</f>
        <v>graft</v>
      </c>
      <c r="D246" s="55" t="str">
        <f>IFERROR(__xludf.DUMMYFUNCTION("""COMPUTED_VALUE"""),"Anacardium occidentale")</f>
        <v>Anacardium occidentale</v>
      </c>
      <c r="E246" s="8" t="str">
        <f>IFERROR(__xludf.DUMMYFUNCTION("""COMPUTED_VALUE"""),"Unknown")</f>
        <v>Unknown</v>
      </c>
      <c r="F246" s="8" t="str">
        <f>IFERROR(__xludf.DUMMYFUNCTION("""COMPUTED_VALUE"""),"Cashew")</f>
        <v>Cashew</v>
      </c>
      <c r="G246" s="8" t="str">
        <f>IFERROR(__xludf.DUMMYFUNCTION("""COMPUTED_VALUE"""),"Anacardier")</f>
        <v>Anacardier</v>
      </c>
      <c r="H246" s="8" t="str">
        <f>IFERROR(__xludf.DUMMYFUNCTION("""COMPUTED_VALUE"""),"graft")</f>
        <v>graft</v>
      </c>
      <c r="I246" s="8" t="str">
        <f>IFERROR(__xludf.DUMMYFUNCTION("""COMPUTED_VALUE"""),"C247")</f>
        <v>C247</v>
      </c>
      <c r="J246" s="8" t="str">
        <f>IFERROR(__xludf.DUMMYFUNCTION("""COMPUTED_VALUE"""),"21N06")</f>
        <v>21N06</v>
      </c>
      <c r="K246" s="8"/>
      <c r="L246" s="8">
        <f>IFERROR(__xludf.DUMMYFUNCTION("""COMPUTED_VALUE"""),1.0)</f>
        <v>1</v>
      </c>
      <c r="M246" s="8">
        <f>IFERROR(__xludf.DUMMYFUNCTION("""COMPUTED_VALUE"""),0.0)</f>
        <v>0</v>
      </c>
      <c r="N246" s="8">
        <f>IFERROR(__xludf.DUMMYFUNCTION("""COMPUTED_VALUE"""),12.0)</f>
        <v>12</v>
      </c>
      <c r="O246" s="8"/>
      <c r="P246" s="8"/>
      <c r="Q246" s="8"/>
      <c r="R246" s="8"/>
      <c r="S246" s="8"/>
      <c r="T246" s="8"/>
      <c r="U246" s="8"/>
      <c r="V246" s="8"/>
      <c r="W246" s="8"/>
      <c r="X246" s="8"/>
      <c r="Y246" s="8"/>
      <c r="Z246" s="8"/>
    </row>
    <row r="247">
      <c r="A247" s="8">
        <f>IFERROR(__xludf.DUMMYFUNCTION("""COMPUTED_VALUE"""),248.0)</f>
        <v>248</v>
      </c>
      <c r="B247" s="8" t="str">
        <f>IFERROR(__xludf.DUMMYFUNCTION("""COMPUTED_VALUE"""),"cashew")</f>
        <v>cashew</v>
      </c>
      <c r="C247" s="8" t="str">
        <f>IFERROR(__xludf.DUMMYFUNCTION("""COMPUTED_VALUE"""),"graft")</f>
        <v>graft</v>
      </c>
      <c r="D247" s="55" t="str">
        <f>IFERROR(__xludf.DUMMYFUNCTION("""COMPUTED_VALUE"""),"Anacardium occidentale")</f>
        <v>Anacardium occidentale</v>
      </c>
      <c r="E247" s="8" t="str">
        <f>IFERROR(__xludf.DUMMYFUNCTION("""COMPUTED_VALUE"""),"Unknown")</f>
        <v>Unknown</v>
      </c>
      <c r="F247" s="8" t="str">
        <f>IFERROR(__xludf.DUMMYFUNCTION("""COMPUTED_VALUE"""),"Cashew")</f>
        <v>Cashew</v>
      </c>
      <c r="G247" s="8" t="str">
        <f>IFERROR(__xludf.DUMMYFUNCTION("""COMPUTED_VALUE"""),"Anacardier")</f>
        <v>Anacardier</v>
      </c>
      <c r="H247" s="8" t="str">
        <f>IFERROR(__xludf.DUMMYFUNCTION("""COMPUTED_VALUE"""),"graft")</f>
        <v>graft</v>
      </c>
      <c r="I247" s="8" t="str">
        <f>IFERROR(__xludf.DUMMYFUNCTION("""COMPUTED_VALUE"""),"C248")</f>
        <v>C248</v>
      </c>
      <c r="J247" s="8" t="str">
        <f>IFERROR(__xludf.DUMMYFUNCTION("""COMPUTED_VALUE"""),"21N07")</f>
        <v>21N07</v>
      </c>
      <c r="K247" s="8"/>
      <c r="L247" s="8">
        <f>IFERROR(__xludf.DUMMYFUNCTION("""COMPUTED_VALUE"""),1.0)</f>
        <v>1</v>
      </c>
      <c r="M247" s="8">
        <f>IFERROR(__xludf.DUMMYFUNCTION("""COMPUTED_VALUE"""),0.0)</f>
        <v>0</v>
      </c>
      <c r="N247" s="8">
        <f>IFERROR(__xludf.DUMMYFUNCTION("""COMPUTED_VALUE"""),12.0)</f>
        <v>12</v>
      </c>
      <c r="O247" s="8"/>
      <c r="P247" s="8"/>
      <c r="Q247" s="8"/>
      <c r="R247" s="8"/>
      <c r="S247" s="8"/>
      <c r="T247" s="8"/>
      <c r="U247" s="8"/>
      <c r="V247" s="8"/>
      <c r="W247" s="8"/>
      <c r="X247" s="8"/>
      <c r="Y247" s="8"/>
      <c r="Z247" s="8"/>
    </row>
    <row r="248">
      <c r="A248" s="8">
        <f>IFERROR(__xludf.DUMMYFUNCTION("""COMPUTED_VALUE"""),249.0)</f>
        <v>249</v>
      </c>
      <c r="B248" s="8" t="str">
        <f>IFERROR(__xludf.DUMMYFUNCTION("""COMPUTED_VALUE"""),"cashew")</f>
        <v>cashew</v>
      </c>
      <c r="C248" s="8" t="str">
        <f>IFERROR(__xludf.DUMMYFUNCTION("""COMPUTED_VALUE"""),"graft")</f>
        <v>graft</v>
      </c>
      <c r="D248" s="55" t="str">
        <f>IFERROR(__xludf.DUMMYFUNCTION("""COMPUTED_VALUE"""),"Anacardium occidentale")</f>
        <v>Anacardium occidentale</v>
      </c>
      <c r="E248" s="8" t="str">
        <f>IFERROR(__xludf.DUMMYFUNCTION("""COMPUTED_VALUE"""),"Unknown")</f>
        <v>Unknown</v>
      </c>
      <c r="F248" s="8" t="str">
        <f>IFERROR(__xludf.DUMMYFUNCTION("""COMPUTED_VALUE"""),"Cashew")</f>
        <v>Cashew</v>
      </c>
      <c r="G248" s="8" t="str">
        <f>IFERROR(__xludf.DUMMYFUNCTION("""COMPUTED_VALUE"""),"Anacardier")</f>
        <v>Anacardier</v>
      </c>
      <c r="H248" s="8" t="str">
        <f>IFERROR(__xludf.DUMMYFUNCTION("""COMPUTED_VALUE"""),"graft")</f>
        <v>graft</v>
      </c>
      <c r="I248" s="8" t="str">
        <f>IFERROR(__xludf.DUMMYFUNCTION("""COMPUTED_VALUE"""),"C249")</f>
        <v>C249</v>
      </c>
      <c r="J248" s="8" t="str">
        <f>IFERROR(__xludf.DUMMYFUNCTION("""COMPUTED_VALUE"""),"21N08")</f>
        <v>21N08</v>
      </c>
      <c r="K248" s="8"/>
      <c r="L248" s="8">
        <f>IFERROR(__xludf.DUMMYFUNCTION("""COMPUTED_VALUE"""),1.0)</f>
        <v>1</v>
      </c>
      <c r="M248" s="8">
        <f>IFERROR(__xludf.DUMMYFUNCTION("""COMPUTED_VALUE"""),0.0)</f>
        <v>0</v>
      </c>
      <c r="N248" s="8">
        <f>IFERROR(__xludf.DUMMYFUNCTION("""COMPUTED_VALUE"""),12.0)</f>
        <v>12</v>
      </c>
      <c r="O248" s="8"/>
      <c r="P248" s="8"/>
      <c r="Q248" s="8"/>
      <c r="R248" s="8"/>
      <c r="S248" s="8"/>
      <c r="T248" s="8"/>
      <c r="U248" s="8"/>
      <c r="V248" s="8"/>
      <c r="W248" s="8"/>
      <c r="X248" s="8"/>
      <c r="Y248" s="8"/>
      <c r="Z248" s="8"/>
    </row>
    <row r="249">
      <c r="A249" s="8">
        <f>IFERROR(__xludf.DUMMYFUNCTION("""COMPUTED_VALUE"""),250.0)</f>
        <v>250</v>
      </c>
      <c r="B249" s="8" t="str">
        <f>IFERROR(__xludf.DUMMYFUNCTION("""COMPUTED_VALUE"""),"cashew")</f>
        <v>cashew</v>
      </c>
      <c r="C249" s="8" t="str">
        <f>IFERROR(__xludf.DUMMYFUNCTION("""COMPUTED_VALUE"""),"graft")</f>
        <v>graft</v>
      </c>
      <c r="D249" s="55" t="str">
        <f>IFERROR(__xludf.DUMMYFUNCTION("""COMPUTED_VALUE"""),"Anacardium occidentale")</f>
        <v>Anacardium occidentale</v>
      </c>
      <c r="E249" s="8" t="str">
        <f>IFERROR(__xludf.DUMMYFUNCTION("""COMPUTED_VALUE"""),"Unknown")</f>
        <v>Unknown</v>
      </c>
      <c r="F249" s="8" t="str">
        <f>IFERROR(__xludf.DUMMYFUNCTION("""COMPUTED_VALUE"""),"Cashew")</f>
        <v>Cashew</v>
      </c>
      <c r="G249" s="8" t="str">
        <f>IFERROR(__xludf.DUMMYFUNCTION("""COMPUTED_VALUE"""),"Anacardier")</f>
        <v>Anacardier</v>
      </c>
      <c r="H249" s="8" t="str">
        <f>IFERROR(__xludf.DUMMYFUNCTION("""COMPUTED_VALUE"""),"graft")</f>
        <v>graft</v>
      </c>
      <c r="I249" s="8" t="str">
        <f>IFERROR(__xludf.DUMMYFUNCTION("""COMPUTED_VALUE"""),"C250")</f>
        <v>C250</v>
      </c>
      <c r="J249" s="8" t="str">
        <f>IFERROR(__xludf.DUMMYFUNCTION("""COMPUTED_VALUE"""),"21N09")</f>
        <v>21N09</v>
      </c>
      <c r="K249" s="8"/>
      <c r="L249" s="8">
        <f>IFERROR(__xludf.DUMMYFUNCTION("""COMPUTED_VALUE"""),1.0)</f>
        <v>1</v>
      </c>
      <c r="M249" s="8">
        <f>IFERROR(__xludf.DUMMYFUNCTION("""COMPUTED_VALUE"""),0.0)</f>
        <v>0</v>
      </c>
      <c r="N249" s="8">
        <f>IFERROR(__xludf.DUMMYFUNCTION("""COMPUTED_VALUE"""),12.0)</f>
        <v>12</v>
      </c>
      <c r="O249" s="8"/>
      <c r="P249" s="8"/>
      <c r="Q249" s="8"/>
      <c r="R249" s="8"/>
      <c r="S249" s="8"/>
      <c r="T249" s="8"/>
      <c r="U249" s="8"/>
      <c r="V249" s="8"/>
      <c r="W249" s="8"/>
      <c r="X249" s="8"/>
      <c r="Y249" s="8"/>
      <c r="Z249" s="8"/>
    </row>
    <row r="250">
      <c r="A250" s="8">
        <f>IFERROR(__xludf.DUMMYFUNCTION("""COMPUTED_VALUE"""),251.0)</f>
        <v>251</v>
      </c>
      <c r="B250" s="8" t="str">
        <f>IFERROR(__xludf.DUMMYFUNCTION("""COMPUTED_VALUE"""),"cashew")</f>
        <v>cashew</v>
      </c>
      <c r="C250" s="8" t="str">
        <f>IFERROR(__xludf.DUMMYFUNCTION("""COMPUTED_VALUE"""),"graft")</f>
        <v>graft</v>
      </c>
      <c r="D250" s="55" t="str">
        <f>IFERROR(__xludf.DUMMYFUNCTION("""COMPUTED_VALUE"""),"Anacardium occidentale")</f>
        <v>Anacardium occidentale</v>
      </c>
      <c r="E250" s="8" t="str">
        <f>IFERROR(__xludf.DUMMYFUNCTION("""COMPUTED_VALUE"""),"Unknown")</f>
        <v>Unknown</v>
      </c>
      <c r="F250" s="8" t="str">
        <f>IFERROR(__xludf.DUMMYFUNCTION("""COMPUTED_VALUE"""),"Cashew")</f>
        <v>Cashew</v>
      </c>
      <c r="G250" s="8" t="str">
        <f>IFERROR(__xludf.DUMMYFUNCTION("""COMPUTED_VALUE"""),"Anacardier")</f>
        <v>Anacardier</v>
      </c>
      <c r="H250" s="8" t="str">
        <f>IFERROR(__xludf.DUMMYFUNCTION("""COMPUTED_VALUE"""),"graft")</f>
        <v>graft</v>
      </c>
      <c r="I250" s="8" t="str">
        <f>IFERROR(__xludf.DUMMYFUNCTION("""COMPUTED_VALUE"""),"C251")</f>
        <v>C251</v>
      </c>
      <c r="J250" s="8" t="str">
        <f>IFERROR(__xludf.DUMMYFUNCTION("""COMPUTED_VALUE"""),"21N10")</f>
        <v>21N10</v>
      </c>
      <c r="K250" s="8"/>
      <c r="L250" s="8">
        <f>IFERROR(__xludf.DUMMYFUNCTION("""COMPUTED_VALUE"""),1.0)</f>
        <v>1</v>
      </c>
      <c r="M250" s="8">
        <f>IFERROR(__xludf.DUMMYFUNCTION("""COMPUTED_VALUE"""),0.0)</f>
        <v>0</v>
      </c>
      <c r="N250" s="8">
        <f>IFERROR(__xludf.DUMMYFUNCTION("""COMPUTED_VALUE"""),12.0)</f>
        <v>12</v>
      </c>
      <c r="O250" s="8"/>
      <c r="P250" s="8"/>
      <c r="Q250" s="8"/>
      <c r="R250" s="8"/>
      <c r="S250" s="8"/>
      <c r="T250" s="8"/>
      <c r="U250" s="8"/>
      <c r="V250" s="8"/>
      <c r="W250" s="8"/>
      <c r="X250" s="8"/>
      <c r="Y250" s="8"/>
      <c r="Z250" s="8"/>
    </row>
    <row r="251">
      <c r="A251" s="8">
        <f>IFERROR(__xludf.DUMMYFUNCTION("""COMPUTED_VALUE"""),252.0)</f>
        <v>252</v>
      </c>
      <c r="B251" s="8" t="str">
        <f>IFERROR(__xludf.DUMMYFUNCTION("""COMPUTED_VALUE"""),"cashew")</f>
        <v>cashew</v>
      </c>
      <c r="C251" s="8" t="str">
        <f>IFERROR(__xludf.DUMMYFUNCTION("""COMPUTED_VALUE"""),"graft")</f>
        <v>graft</v>
      </c>
      <c r="D251" s="55" t="str">
        <f>IFERROR(__xludf.DUMMYFUNCTION("""COMPUTED_VALUE"""),"Anacardium occidentale")</f>
        <v>Anacardium occidentale</v>
      </c>
      <c r="E251" s="8" t="str">
        <f>IFERROR(__xludf.DUMMYFUNCTION("""COMPUTED_VALUE"""),"Unknown")</f>
        <v>Unknown</v>
      </c>
      <c r="F251" s="8" t="str">
        <f>IFERROR(__xludf.DUMMYFUNCTION("""COMPUTED_VALUE"""),"Cashew")</f>
        <v>Cashew</v>
      </c>
      <c r="G251" s="8" t="str">
        <f>IFERROR(__xludf.DUMMYFUNCTION("""COMPUTED_VALUE"""),"Anacardier")</f>
        <v>Anacardier</v>
      </c>
      <c r="H251" s="8" t="str">
        <f>IFERROR(__xludf.DUMMYFUNCTION("""COMPUTED_VALUE"""),"graft")</f>
        <v>graft</v>
      </c>
      <c r="I251" s="8" t="str">
        <f>IFERROR(__xludf.DUMMYFUNCTION("""COMPUTED_VALUE"""),"C252")</f>
        <v>C252</v>
      </c>
      <c r="J251" s="8" t="str">
        <f>IFERROR(__xludf.DUMMYFUNCTION("""COMPUTED_VALUE"""),"21N11")</f>
        <v>21N11</v>
      </c>
      <c r="K251" s="8"/>
      <c r="L251" s="8">
        <f>IFERROR(__xludf.DUMMYFUNCTION("""COMPUTED_VALUE"""),1.0)</f>
        <v>1</v>
      </c>
      <c r="M251" s="8">
        <f>IFERROR(__xludf.DUMMYFUNCTION("""COMPUTED_VALUE"""),0.0)</f>
        <v>0</v>
      </c>
      <c r="N251" s="8">
        <f>IFERROR(__xludf.DUMMYFUNCTION("""COMPUTED_VALUE"""),12.0)</f>
        <v>12</v>
      </c>
      <c r="O251" s="8"/>
      <c r="P251" s="8"/>
      <c r="Q251" s="8"/>
      <c r="R251" s="8"/>
      <c r="S251" s="8"/>
      <c r="T251" s="8"/>
      <c r="U251" s="8"/>
      <c r="V251" s="8"/>
      <c r="W251" s="8"/>
      <c r="X251" s="8"/>
      <c r="Y251" s="8"/>
      <c r="Z251" s="8"/>
    </row>
    <row r="252">
      <c r="A252" s="8">
        <f>IFERROR(__xludf.DUMMYFUNCTION("""COMPUTED_VALUE"""),253.0)</f>
        <v>253</v>
      </c>
      <c r="B252" s="8" t="str">
        <f>IFERROR(__xludf.DUMMYFUNCTION("""COMPUTED_VALUE"""),"cashew")</f>
        <v>cashew</v>
      </c>
      <c r="C252" s="8" t="str">
        <f>IFERROR(__xludf.DUMMYFUNCTION("""COMPUTED_VALUE"""),"graft")</f>
        <v>graft</v>
      </c>
      <c r="D252" s="55" t="str">
        <f>IFERROR(__xludf.DUMMYFUNCTION("""COMPUTED_VALUE"""),"Anacardium occidentale")</f>
        <v>Anacardium occidentale</v>
      </c>
      <c r="E252" s="8" t="str">
        <f>IFERROR(__xludf.DUMMYFUNCTION("""COMPUTED_VALUE"""),"Unknown")</f>
        <v>Unknown</v>
      </c>
      <c r="F252" s="8" t="str">
        <f>IFERROR(__xludf.DUMMYFUNCTION("""COMPUTED_VALUE"""),"Cashew")</f>
        <v>Cashew</v>
      </c>
      <c r="G252" s="8" t="str">
        <f>IFERROR(__xludf.DUMMYFUNCTION("""COMPUTED_VALUE"""),"Anacardier")</f>
        <v>Anacardier</v>
      </c>
      <c r="H252" s="8" t="str">
        <f>IFERROR(__xludf.DUMMYFUNCTION("""COMPUTED_VALUE"""),"graft")</f>
        <v>graft</v>
      </c>
      <c r="I252" s="8" t="str">
        <f>IFERROR(__xludf.DUMMYFUNCTION("""COMPUTED_VALUE"""),"C253")</f>
        <v>C253</v>
      </c>
      <c r="J252" s="8" t="str">
        <f>IFERROR(__xludf.DUMMYFUNCTION("""COMPUTED_VALUE"""),"21N12")</f>
        <v>21N12</v>
      </c>
      <c r="K252" s="8"/>
      <c r="L252" s="8">
        <f>IFERROR(__xludf.DUMMYFUNCTION("""COMPUTED_VALUE"""),1.0)</f>
        <v>1</v>
      </c>
      <c r="M252" s="8">
        <f>IFERROR(__xludf.DUMMYFUNCTION("""COMPUTED_VALUE"""),0.0)</f>
        <v>0</v>
      </c>
      <c r="N252" s="8">
        <f>IFERROR(__xludf.DUMMYFUNCTION("""COMPUTED_VALUE"""),12.0)</f>
        <v>12</v>
      </c>
      <c r="O252" s="8"/>
      <c r="P252" s="8"/>
      <c r="Q252" s="8"/>
      <c r="R252" s="8"/>
      <c r="S252" s="8"/>
      <c r="T252" s="8"/>
      <c r="U252" s="8"/>
      <c r="V252" s="8"/>
      <c r="W252" s="8"/>
      <c r="X252" s="8"/>
      <c r="Y252" s="8"/>
      <c r="Z252" s="8"/>
    </row>
    <row r="253">
      <c r="A253" s="8">
        <f>IFERROR(__xludf.DUMMYFUNCTION("""COMPUTED_VALUE"""),553.0)</f>
        <v>553</v>
      </c>
      <c r="B253" s="8" t="str">
        <f>IFERROR(__xludf.DUMMYFUNCTION("""COMPUTED_VALUE"""),"tree")</f>
        <v>tree</v>
      </c>
      <c r="C253" s="8" t="str">
        <f>IFERROR(__xludf.DUMMYFUNCTION("""COMPUTED_VALUE"""),"cutting")</f>
        <v>cutting</v>
      </c>
      <c r="D253" s="55" t="str">
        <f>IFERROR(__xludf.DUMMYFUNCTION("""COMPUTED_VALUE"""),"Bunchiosa sp.")</f>
        <v>Bunchiosa sp.</v>
      </c>
      <c r="E253" s="8"/>
      <c r="F253" s="8" t="str">
        <f>IFERROR(__xludf.DUMMYFUNCTION("""COMPUTED_VALUE"""),"Peanut Butter Fruit")</f>
        <v>Peanut Butter Fruit</v>
      </c>
      <c r="G253" s="8" t="str">
        <f>IFERROR(__xludf.DUMMYFUNCTION("""COMPUTED_VALUE"""),"Fruits au beurre de cacahuète")</f>
        <v>Fruits au beurre de cacahuète</v>
      </c>
      <c r="H253" s="8" t="str">
        <f>IFERROR(__xludf.DUMMYFUNCTION("""COMPUTED_VALUE"""),"Peanut Butter Fruit")</f>
        <v>Peanut Butter Fruit</v>
      </c>
      <c r="I253" s="8" t="str">
        <f>IFERROR(__xludf.DUMMYFUNCTION("""COMPUTED_VALUE"""),"025")</f>
        <v>025</v>
      </c>
      <c r="J253" s="8"/>
      <c r="K253" s="8"/>
      <c r="L253" s="8">
        <f>IFERROR(__xludf.DUMMYFUNCTION("""COMPUTED_VALUE"""),1.0)</f>
        <v>1</v>
      </c>
      <c r="M253" s="8"/>
      <c r="N253" s="8"/>
      <c r="O253" s="8"/>
      <c r="P253" s="8"/>
      <c r="Q253" s="8"/>
      <c r="R253" s="8"/>
      <c r="S253" s="8"/>
      <c r="T253" s="8"/>
      <c r="U253" s="8"/>
      <c r="V253" s="8"/>
      <c r="W253" s="8"/>
      <c r="X253" s="8"/>
      <c r="Y253" s="8"/>
      <c r="Z253" s="8"/>
    </row>
    <row r="254">
      <c r="A254" s="8">
        <f>IFERROR(__xludf.DUMMYFUNCTION("""COMPUTED_VALUE"""),583.0)</f>
        <v>583</v>
      </c>
      <c r="B254" s="8" t="str">
        <f>IFERROR(__xludf.DUMMYFUNCTION("""COMPUTED_VALUE"""),"tree")</f>
        <v>tree</v>
      </c>
      <c r="C254" s="8" t="str">
        <f>IFERROR(__xludf.DUMMYFUNCTION("""COMPUTED_VALUE"""),"graft")</f>
        <v>graft</v>
      </c>
      <c r="D254" s="55" t="str">
        <f>IFERROR(__xludf.DUMMYFUNCTION("""COMPUTED_VALUE"""),"Manilkara zapota")</f>
        <v>Manilkara zapota</v>
      </c>
      <c r="E254" s="8" t="str">
        <f>IFERROR(__xludf.DUMMYFUNCTION("""COMPUTED_VALUE"""),"Seedling")</f>
        <v>Seedling</v>
      </c>
      <c r="F254" s="8" t="str">
        <f>IFERROR(__xludf.DUMMYFUNCTION("""COMPUTED_VALUE"""),"Sapodilla")</f>
        <v>Sapodilla</v>
      </c>
      <c r="G254" s="8" t="str">
        <f>IFERROR(__xludf.DUMMYFUNCTION("""COMPUTED_VALUE"""),"Sapotille")</f>
        <v>Sapotille</v>
      </c>
      <c r="H254" s="8" t="str">
        <f>IFERROR(__xludf.DUMMYFUNCTION("""COMPUTED_VALUE"""),"seed")</f>
        <v>seed</v>
      </c>
      <c r="I254" s="8" t="str">
        <f>IFERROR(__xludf.DUMMYFUNCTION("""COMPUTED_VALUE"""),"128")</f>
        <v>128</v>
      </c>
      <c r="J254" s="8"/>
      <c r="K254" s="8"/>
      <c r="L254" s="8" t="str">
        <f>IFERROR(__xludf.DUMMYFUNCTION("""COMPUTED_VALUE"""),"multiple")</f>
        <v>multiple</v>
      </c>
      <c r="M254" s="8">
        <f>IFERROR(__xludf.DUMMYFUNCTION("""COMPUTED_VALUE"""),0.0)</f>
        <v>0</v>
      </c>
      <c r="N254" s="8">
        <f>IFERROR(__xludf.DUMMYFUNCTION("""COMPUTED_VALUE"""),0.0)</f>
        <v>0</v>
      </c>
      <c r="O254" s="8"/>
      <c r="P254" s="8"/>
      <c r="Q254" s="8"/>
      <c r="R254" s="8"/>
      <c r="S254" s="8"/>
      <c r="T254" s="8"/>
      <c r="U254" s="8"/>
      <c r="V254" s="8"/>
      <c r="W254" s="8"/>
      <c r="X254" s="8"/>
      <c r="Y254" s="8"/>
      <c r="Z254" s="8"/>
    </row>
    <row r="255">
      <c r="A255" s="8">
        <f>IFERROR(__xludf.DUMMYFUNCTION("""COMPUTED_VALUE"""),584.0)</f>
        <v>584</v>
      </c>
      <c r="B255" s="8" t="str">
        <f>IFERROR(__xludf.DUMMYFUNCTION("""COMPUTED_VALUE"""),"tree")</f>
        <v>tree</v>
      </c>
      <c r="C255" s="8" t="str">
        <f>IFERROR(__xludf.DUMMYFUNCTION("""COMPUTED_VALUE"""),"air_layer")</f>
        <v>air_layer</v>
      </c>
      <c r="D255" s="55" t="str">
        <f>IFERROR(__xludf.DUMMYFUNCTION("""COMPUTED_VALUE"""),"Dimocarpus longan")</f>
        <v>Dimocarpus longan</v>
      </c>
      <c r="E255" s="8" t="str">
        <f>IFERROR(__xludf.DUMMYFUNCTION("""COMPUTED_VALUE"""),"Seedling")</f>
        <v>Seedling</v>
      </c>
      <c r="F255" s="8" t="str">
        <f>IFERROR(__xludf.DUMMYFUNCTION("""COMPUTED_VALUE"""),"Longan")</f>
        <v>Longan</v>
      </c>
      <c r="G255" s="8" t="str">
        <f>IFERROR(__xludf.DUMMYFUNCTION("""COMPUTED_VALUE"""),"Longane")</f>
        <v>Longane</v>
      </c>
      <c r="H255" s="8" t="str">
        <f>IFERROR(__xludf.DUMMYFUNCTION("""COMPUTED_VALUE"""),"air_layer")</f>
        <v>air_layer</v>
      </c>
      <c r="I255" s="8" t="str">
        <f>IFERROR(__xludf.DUMMYFUNCTION("""COMPUTED_VALUE"""),"130")</f>
        <v>130</v>
      </c>
      <c r="J255" s="8"/>
      <c r="K255" s="8"/>
      <c r="L255" s="8">
        <f>IFERROR(__xludf.DUMMYFUNCTION("""COMPUTED_VALUE"""),1.0)</f>
        <v>1</v>
      </c>
      <c r="M255" s="8">
        <f>IFERROR(__xludf.DUMMYFUNCTION("""COMPUTED_VALUE"""),1.0)</f>
        <v>1</v>
      </c>
      <c r="N255" s="8">
        <f>IFERROR(__xludf.DUMMYFUNCTION("""COMPUTED_VALUE"""),1.0)</f>
        <v>1</v>
      </c>
      <c r="O255" s="8"/>
      <c r="P255" s="8"/>
      <c r="Q255" s="8"/>
      <c r="R255" s="8"/>
      <c r="S255" s="8"/>
      <c r="T255" s="8"/>
      <c r="U255" s="8"/>
      <c r="V255" s="8"/>
      <c r="W255" s="8"/>
      <c r="X255" s="8"/>
      <c r="Y255" s="8"/>
      <c r="Z255" s="8"/>
    </row>
    <row r="256">
      <c r="A256" s="8">
        <f>IFERROR(__xludf.DUMMYFUNCTION("""COMPUTED_VALUE"""),585.0)</f>
        <v>585</v>
      </c>
      <c r="B256" s="8" t="str">
        <f>IFERROR(__xludf.DUMMYFUNCTION("""COMPUTED_VALUE"""),"tree")</f>
        <v>tree</v>
      </c>
      <c r="C256" s="8" t="str">
        <f>IFERROR(__xludf.DUMMYFUNCTION("""COMPUTED_VALUE"""),"graft")</f>
        <v>graft</v>
      </c>
      <c r="D256" s="55" t="str">
        <f>IFERROR(__xludf.DUMMYFUNCTION("""COMPUTED_VALUE"""),"Averrhoa carambola")</f>
        <v>Averrhoa carambola</v>
      </c>
      <c r="E256" s="8" t="str">
        <f>IFERROR(__xludf.DUMMYFUNCTION("""COMPUTED_VALUE"""),"ECHO seedling")</f>
        <v>ECHO seedling</v>
      </c>
      <c r="F256" s="8" t="str">
        <f>IFERROR(__xludf.DUMMYFUNCTION("""COMPUTED_VALUE"""),"Carambola")</f>
        <v>Carambola</v>
      </c>
      <c r="G256" s="8" t="str">
        <f>IFERROR(__xludf.DUMMYFUNCTION("""COMPUTED_VALUE"""),"Carambolier")</f>
        <v>Carambolier</v>
      </c>
      <c r="H256" s="8" t="str">
        <f>IFERROR(__xludf.DUMMYFUNCTION("""COMPUTED_VALUE"""),"seed")</f>
        <v>seed</v>
      </c>
      <c r="I256" s="8" t="str">
        <f>IFERROR(__xludf.DUMMYFUNCTION("""COMPUTED_VALUE"""),"061")</f>
        <v>061</v>
      </c>
      <c r="J256" s="8"/>
      <c r="K256" s="8"/>
      <c r="L256" s="8" t="str">
        <f>IFERROR(__xludf.DUMMYFUNCTION("""COMPUTED_VALUE"""),"multiple")</f>
        <v>multiple</v>
      </c>
      <c r="M256" s="8">
        <f>IFERROR(__xludf.DUMMYFUNCTION("""COMPUTED_VALUE"""),8.0)</f>
        <v>8</v>
      </c>
      <c r="N256" s="8">
        <f>IFERROR(__xludf.DUMMYFUNCTION("""COMPUTED_VALUE"""),8.0)</f>
        <v>8</v>
      </c>
      <c r="O256" s="8"/>
      <c r="P256" s="8"/>
      <c r="Q256" s="8"/>
      <c r="R256" s="8"/>
      <c r="S256" s="8"/>
      <c r="T256" s="8"/>
      <c r="U256" s="8"/>
      <c r="V256" s="8"/>
      <c r="W256" s="8"/>
      <c r="X256" s="8"/>
      <c r="Y256" s="8"/>
      <c r="Z256" s="8"/>
    </row>
    <row r="257">
      <c r="A257" s="8">
        <f>IFERROR(__xludf.DUMMYFUNCTION("""COMPUTED_VALUE"""),586.0)</f>
        <v>586</v>
      </c>
      <c r="B257" s="8" t="str">
        <f>IFERROR(__xludf.DUMMYFUNCTION("""COMPUTED_VALUE"""),"tree")</f>
        <v>tree</v>
      </c>
      <c r="C257" s="8" t="str">
        <f>IFERROR(__xludf.DUMMYFUNCTION("""COMPUTED_VALUE"""),"graft")</f>
        <v>graft</v>
      </c>
      <c r="D257" s="55" t="str">
        <f>IFERROR(__xludf.DUMMYFUNCTION("""COMPUTED_VALUE"""),"Averrhoa carambola")</f>
        <v>Averrhoa carambola</v>
      </c>
      <c r="E257" s="8" t="str">
        <f>IFERROR(__xludf.DUMMYFUNCTION("""COMPUTED_VALUE"""),"ECHO seedling")</f>
        <v>ECHO seedling</v>
      </c>
      <c r="F257" s="8" t="str">
        <f>IFERROR(__xludf.DUMMYFUNCTION("""COMPUTED_VALUE"""),"Carambola")</f>
        <v>Carambola</v>
      </c>
      <c r="G257" s="8" t="str">
        <f>IFERROR(__xludf.DUMMYFUNCTION("""COMPUTED_VALUE"""),"Carambolier")</f>
        <v>Carambolier</v>
      </c>
      <c r="H257" s="8" t="str">
        <f>IFERROR(__xludf.DUMMYFUNCTION("""COMPUTED_VALUE"""),"seed")</f>
        <v>seed</v>
      </c>
      <c r="I257" s="8" t="str">
        <f>IFERROR(__xludf.DUMMYFUNCTION("""COMPUTED_VALUE"""),"063")</f>
        <v>063</v>
      </c>
      <c r="J257" s="8"/>
      <c r="K257" s="8"/>
      <c r="L257" s="8" t="str">
        <f>IFERROR(__xludf.DUMMYFUNCTION("""COMPUTED_VALUE"""),"multiple")</f>
        <v>multiple</v>
      </c>
      <c r="M257" s="8">
        <f>IFERROR(__xludf.DUMMYFUNCTION("""COMPUTED_VALUE"""),8.0)</f>
        <v>8</v>
      </c>
      <c r="N257" s="8">
        <f>IFERROR(__xludf.DUMMYFUNCTION("""COMPUTED_VALUE"""),8.0)</f>
        <v>8</v>
      </c>
      <c r="O257" s="8"/>
      <c r="P257" s="8"/>
      <c r="Q257" s="8"/>
      <c r="R257" s="8"/>
      <c r="S257" s="8"/>
      <c r="T257" s="8"/>
      <c r="U257" s="8"/>
      <c r="V257" s="8"/>
      <c r="W257" s="8"/>
      <c r="X257" s="8"/>
      <c r="Y257" s="8"/>
      <c r="Z257" s="8"/>
    </row>
    <row r="258">
      <c r="A258" s="8">
        <f>IFERROR(__xludf.DUMMYFUNCTION("""COMPUTED_VALUE"""),587.0)</f>
        <v>587</v>
      </c>
      <c r="B258" s="8" t="str">
        <f>IFERROR(__xludf.DUMMYFUNCTION("""COMPUTED_VALUE"""),"tree")</f>
        <v>tree</v>
      </c>
      <c r="C258" s="8" t="str">
        <f>IFERROR(__xludf.DUMMYFUNCTION("""COMPUTED_VALUE"""),"graft")</f>
        <v>graft</v>
      </c>
      <c r="D258" s="55" t="str">
        <f>IFERROR(__xludf.DUMMYFUNCTION("""COMPUTED_VALUE"""),"Averrhoa carambola")</f>
        <v>Averrhoa carambola</v>
      </c>
      <c r="E258" s="8" t="str">
        <f>IFERROR(__xludf.DUMMYFUNCTION("""COMPUTED_VALUE"""),"ECHO seedling")</f>
        <v>ECHO seedling</v>
      </c>
      <c r="F258" s="8" t="str">
        <f>IFERROR(__xludf.DUMMYFUNCTION("""COMPUTED_VALUE"""),"Carambola")</f>
        <v>Carambola</v>
      </c>
      <c r="G258" s="8" t="str">
        <f>IFERROR(__xludf.DUMMYFUNCTION("""COMPUTED_VALUE"""),"Carambolier")</f>
        <v>Carambolier</v>
      </c>
      <c r="H258" s="8" t="str">
        <f>IFERROR(__xludf.DUMMYFUNCTION("""COMPUTED_VALUE"""),"seed")</f>
        <v>seed</v>
      </c>
      <c r="I258" s="8" t="str">
        <f>IFERROR(__xludf.DUMMYFUNCTION("""COMPUTED_VALUE"""),"067")</f>
        <v>067</v>
      </c>
      <c r="J258" s="8"/>
      <c r="K258" s="8"/>
      <c r="L258" s="8" t="str">
        <f>IFERROR(__xludf.DUMMYFUNCTION("""COMPUTED_VALUE"""),"multiple")</f>
        <v>multiple</v>
      </c>
      <c r="M258" s="8">
        <f>IFERROR(__xludf.DUMMYFUNCTION("""COMPUTED_VALUE"""),8.0)</f>
        <v>8</v>
      </c>
      <c r="N258" s="8">
        <f>IFERROR(__xludf.DUMMYFUNCTION("""COMPUTED_VALUE"""),8.0)</f>
        <v>8</v>
      </c>
      <c r="O258" s="8"/>
      <c r="P258" s="8"/>
      <c r="Q258" s="8"/>
      <c r="R258" s="8"/>
      <c r="S258" s="8"/>
      <c r="T258" s="8"/>
      <c r="U258" s="8"/>
      <c r="V258" s="8"/>
      <c r="W258" s="8"/>
      <c r="X258" s="8"/>
      <c r="Y258" s="8"/>
      <c r="Z258" s="8"/>
    </row>
    <row r="259">
      <c r="A259" s="8">
        <f>IFERROR(__xludf.DUMMYFUNCTION("""COMPUTED_VALUE"""),588.0)</f>
        <v>588</v>
      </c>
      <c r="B259" s="8" t="str">
        <f>IFERROR(__xludf.DUMMYFUNCTION("""COMPUTED_VALUE"""),"tree")</f>
        <v>tree</v>
      </c>
      <c r="C259" s="8" t="str">
        <f>IFERROR(__xludf.DUMMYFUNCTION("""COMPUTED_VALUE"""),"graft")</f>
        <v>graft</v>
      </c>
      <c r="D259" s="55" t="str">
        <f>IFERROR(__xludf.DUMMYFUNCTION("""COMPUTED_VALUE"""),"Averrhoa carambola")</f>
        <v>Averrhoa carambola</v>
      </c>
      <c r="E259" s="8" t="str">
        <f>IFERROR(__xludf.DUMMYFUNCTION("""COMPUTED_VALUE"""),"ECHO seedling")</f>
        <v>ECHO seedling</v>
      </c>
      <c r="F259" s="8" t="str">
        <f>IFERROR(__xludf.DUMMYFUNCTION("""COMPUTED_VALUE"""),"Carambola")</f>
        <v>Carambola</v>
      </c>
      <c r="G259" s="8" t="str">
        <f>IFERROR(__xludf.DUMMYFUNCTION("""COMPUTED_VALUE"""),"Carambolier")</f>
        <v>Carambolier</v>
      </c>
      <c r="H259" s="8" t="str">
        <f>IFERROR(__xludf.DUMMYFUNCTION("""COMPUTED_VALUE"""),"seed")</f>
        <v>seed</v>
      </c>
      <c r="I259" s="8" t="str">
        <f>IFERROR(__xludf.DUMMYFUNCTION("""COMPUTED_VALUE"""),"082")</f>
        <v>082</v>
      </c>
      <c r="J259" s="8"/>
      <c r="K259" s="8"/>
      <c r="L259" s="8" t="str">
        <f>IFERROR(__xludf.DUMMYFUNCTION("""COMPUTED_VALUE"""),"multiple")</f>
        <v>multiple</v>
      </c>
      <c r="M259" s="8">
        <f>IFERROR(__xludf.DUMMYFUNCTION("""COMPUTED_VALUE"""),8.0)</f>
        <v>8</v>
      </c>
      <c r="N259" s="8">
        <f>IFERROR(__xludf.DUMMYFUNCTION("""COMPUTED_VALUE"""),8.0)</f>
        <v>8</v>
      </c>
      <c r="O259" s="8"/>
      <c r="P259" s="8"/>
      <c r="Q259" s="8"/>
      <c r="R259" s="8"/>
      <c r="S259" s="8"/>
      <c r="T259" s="8"/>
      <c r="U259" s="8"/>
      <c r="V259" s="8"/>
      <c r="W259" s="8"/>
      <c r="X259" s="8"/>
      <c r="Y259" s="8"/>
      <c r="Z259" s="8"/>
    </row>
    <row r="260">
      <c r="A260" s="8">
        <f>IFERROR(__xludf.DUMMYFUNCTION("""COMPUTED_VALUE"""),589.0)</f>
        <v>589</v>
      </c>
      <c r="B260" s="8" t="str">
        <f>IFERROR(__xludf.DUMMYFUNCTION("""COMPUTED_VALUE"""),"tree")</f>
        <v>tree</v>
      </c>
      <c r="C260" s="8" t="str">
        <f>IFERROR(__xludf.DUMMYFUNCTION("""COMPUTED_VALUE"""),"graft")</f>
        <v>graft</v>
      </c>
      <c r="D260" s="55" t="str">
        <f>IFERROR(__xludf.DUMMYFUNCTION("""COMPUTED_VALUE"""),"Averrhoa carambola")</f>
        <v>Averrhoa carambola</v>
      </c>
      <c r="E260" s="8" t="str">
        <f>IFERROR(__xludf.DUMMYFUNCTION("""COMPUTED_VALUE"""),"ECHO seedling")</f>
        <v>ECHO seedling</v>
      </c>
      <c r="F260" s="8" t="str">
        <f>IFERROR(__xludf.DUMMYFUNCTION("""COMPUTED_VALUE"""),"Carambola")</f>
        <v>Carambola</v>
      </c>
      <c r="G260" s="8" t="str">
        <f>IFERROR(__xludf.DUMMYFUNCTION("""COMPUTED_VALUE"""),"Carambolier")</f>
        <v>Carambolier</v>
      </c>
      <c r="H260" s="8" t="str">
        <f>IFERROR(__xludf.DUMMYFUNCTION("""COMPUTED_VALUE"""),"seed")</f>
        <v>seed</v>
      </c>
      <c r="I260" s="8" t="str">
        <f>IFERROR(__xludf.DUMMYFUNCTION("""COMPUTED_VALUE"""),"084")</f>
        <v>084</v>
      </c>
      <c r="J260" s="8"/>
      <c r="K260" s="8"/>
      <c r="L260" s="8" t="str">
        <f>IFERROR(__xludf.DUMMYFUNCTION("""COMPUTED_VALUE"""),"multiple")</f>
        <v>multiple</v>
      </c>
      <c r="M260" s="8">
        <f>IFERROR(__xludf.DUMMYFUNCTION("""COMPUTED_VALUE"""),8.0)</f>
        <v>8</v>
      </c>
      <c r="N260" s="8">
        <f>IFERROR(__xludf.DUMMYFUNCTION("""COMPUTED_VALUE"""),8.0)</f>
        <v>8</v>
      </c>
      <c r="O260" s="8"/>
      <c r="P260" s="8"/>
      <c r="Q260" s="8"/>
      <c r="R260" s="8"/>
      <c r="S260" s="8"/>
      <c r="T260" s="8"/>
      <c r="U260" s="8"/>
      <c r="V260" s="8"/>
      <c r="W260" s="8"/>
      <c r="X260" s="8"/>
      <c r="Y260" s="8"/>
      <c r="Z260" s="8"/>
    </row>
    <row r="261">
      <c r="A261" s="8">
        <f>IFERROR(__xludf.DUMMYFUNCTION("""COMPUTED_VALUE"""),590.0)</f>
        <v>590</v>
      </c>
      <c r="B261" s="8" t="str">
        <f>IFERROR(__xludf.DUMMYFUNCTION("""COMPUTED_VALUE"""),"tree")</f>
        <v>tree</v>
      </c>
      <c r="C261" s="8" t="str">
        <f>IFERROR(__xludf.DUMMYFUNCTION("""COMPUTED_VALUE"""),"graft")</f>
        <v>graft</v>
      </c>
      <c r="D261" s="55" t="str">
        <f>IFERROR(__xludf.DUMMYFUNCTION("""COMPUTED_VALUE"""),"Averrhoa carambola")</f>
        <v>Averrhoa carambola</v>
      </c>
      <c r="E261" s="8" t="str">
        <f>IFERROR(__xludf.DUMMYFUNCTION("""COMPUTED_VALUE"""),"ECHO seedling")</f>
        <v>ECHO seedling</v>
      </c>
      <c r="F261" s="8" t="str">
        <f>IFERROR(__xludf.DUMMYFUNCTION("""COMPUTED_VALUE"""),"Carambola")</f>
        <v>Carambola</v>
      </c>
      <c r="G261" s="8" t="str">
        <f>IFERROR(__xludf.DUMMYFUNCTION("""COMPUTED_VALUE"""),"Carambolier")</f>
        <v>Carambolier</v>
      </c>
      <c r="H261" s="8" t="str">
        <f>IFERROR(__xludf.DUMMYFUNCTION("""COMPUTED_VALUE"""),"seed")</f>
        <v>seed</v>
      </c>
      <c r="I261" s="8" t="str">
        <f>IFERROR(__xludf.DUMMYFUNCTION("""COMPUTED_VALUE"""),"086")</f>
        <v>086</v>
      </c>
      <c r="J261" s="8"/>
      <c r="K261" s="8"/>
      <c r="L261" s="8" t="str">
        <f>IFERROR(__xludf.DUMMYFUNCTION("""COMPUTED_VALUE"""),"multiple")</f>
        <v>multiple</v>
      </c>
      <c r="M261" s="8">
        <f>IFERROR(__xludf.DUMMYFUNCTION("""COMPUTED_VALUE"""),8.0)</f>
        <v>8</v>
      </c>
      <c r="N261" s="8">
        <f>IFERROR(__xludf.DUMMYFUNCTION("""COMPUTED_VALUE"""),8.0)</f>
        <v>8</v>
      </c>
      <c r="O261" s="8"/>
      <c r="P261" s="8"/>
      <c r="Q261" s="8"/>
      <c r="R261" s="8"/>
      <c r="S261" s="8"/>
      <c r="T261" s="8"/>
      <c r="U261" s="8"/>
      <c r="V261" s="8"/>
      <c r="W261" s="8"/>
      <c r="X261" s="8"/>
      <c r="Y261" s="8"/>
      <c r="Z261" s="8"/>
    </row>
    <row r="262">
      <c r="A262" s="8">
        <f>IFERROR(__xludf.DUMMYFUNCTION("""COMPUTED_VALUE"""),591.0)</f>
        <v>591</v>
      </c>
      <c r="B262" s="8" t="str">
        <f>IFERROR(__xludf.DUMMYFUNCTION("""COMPUTED_VALUE"""),"tree")</f>
        <v>tree</v>
      </c>
      <c r="C262" s="8" t="str">
        <f>IFERROR(__xludf.DUMMYFUNCTION("""COMPUTED_VALUE"""),"graft")</f>
        <v>graft</v>
      </c>
      <c r="D262" s="55" t="str">
        <f>IFERROR(__xludf.DUMMYFUNCTION("""COMPUTED_VALUE"""),"Averrhoa carambola")</f>
        <v>Averrhoa carambola</v>
      </c>
      <c r="E262" s="8" t="str">
        <f>IFERROR(__xludf.DUMMYFUNCTION("""COMPUTED_VALUE"""),"Mamadi #1 ECHO seedling")</f>
        <v>Mamadi #1 ECHO seedling</v>
      </c>
      <c r="F262" s="8" t="str">
        <f>IFERROR(__xludf.DUMMYFUNCTION("""COMPUTED_VALUE"""),"Carambola")</f>
        <v>Carambola</v>
      </c>
      <c r="G262" s="8" t="str">
        <f>IFERROR(__xludf.DUMMYFUNCTION("""COMPUTED_VALUE"""),"Carambolier")</f>
        <v>Carambolier</v>
      </c>
      <c r="H262" s="8" t="str">
        <f>IFERROR(__xludf.DUMMYFUNCTION("""COMPUTED_VALUE"""),"seed")</f>
        <v>seed</v>
      </c>
      <c r="I262" s="8" t="str">
        <f>IFERROR(__xludf.DUMMYFUNCTION("""COMPUTED_VALUE"""),"088")</f>
        <v>088</v>
      </c>
      <c r="J262" s="8"/>
      <c r="K262" s="8"/>
      <c r="L262" s="8" t="str">
        <f>IFERROR(__xludf.DUMMYFUNCTION("""COMPUTED_VALUE"""),"multiple")</f>
        <v>multiple</v>
      </c>
      <c r="M262" s="8">
        <f>IFERROR(__xludf.DUMMYFUNCTION("""COMPUTED_VALUE"""),1.0)</f>
        <v>1</v>
      </c>
      <c r="N262" s="8">
        <f>IFERROR(__xludf.DUMMYFUNCTION("""COMPUTED_VALUE"""),1.0)</f>
        <v>1</v>
      </c>
      <c r="O262" s="8"/>
      <c r="P262" s="8"/>
      <c r="Q262" s="8"/>
      <c r="R262" s="8"/>
      <c r="S262" s="8"/>
      <c r="T262" s="8"/>
      <c r="U262" s="8"/>
      <c r="V262" s="8"/>
      <c r="W262" s="8"/>
      <c r="X262" s="8"/>
      <c r="Y262" s="8"/>
      <c r="Z262" s="8"/>
    </row>
    <row r="263">
      <c r="A263" s="8">
        <f>IFERROR(__xludf.DUMMYFUNCTION("""COMPUTED_VALUE"""),592.0)</f>
        <v>592</v>
      </c>
      <c r="B263" s="8" t="str">
        <f>IFERROR(__xludf.DUMMYFUNCTION("""COMPUTED_VALUE"""),"tree")</f>
        <v>tree</v>
      </c>
      <c r="C263" s="8" t="str">
        <f>IFERROR(__xludf.DUMMYFUNCTION("""COMPUTED_VALUE"""),"graft")</f>
        <v>graft</v>
      </c>
      <c r="D263" s="55" t="str">
        <f>IFERROR(__xludf.DUMMYFUNCTION("""COMPUTED_VALUE"""),"Averrhoa carambola")</f>
        <v>Averrhoa carambola</v>
      </c>
      <c r="E263" s="8" t="str">
        <f>IFERROR(__xludf.DUMMYFUNCTION("""COMPUTED_VALUE"""),"ECHO seedling")</f>
        <v>ECHO seedling</v>
      </c>
      <c r="F263" s="8" t="str">
        <f>IFERROR(__xludf.DUMMYFUNCTION("""COMPUTED_VALUE"""),"Carambola")</f>
        <v>Carambola</v>
      </c>
      <c r="G263" s="8" t="str">
        <f>IFERROR(__xludf.DUMMYFUNCTION("""COMPUTED_VALUE"""),"Carambolier")</f>
        <v>Carambolier</v>
      </c>
      <c r="H263" s="8" t="str">
        <f>IFERROR(__xludf.DUMMYFUNCTION("""COMPUTED_VALUE"""),"seed")</f>
        <v>seed</v>
      </c>
      <c r="I263" s="8" t="str">
        <f>IFERROR(__xludf.DUMMYFUNCTION("""COMPUTED_VALUE"""),"108")</f>
        <v>108</v>
      </c>
      <c r="J263" s="8"/>
      <c r="K263" s="8"/>
      <c r="L263" s="8" t="str">
        <f>IFERROR(__xludf.DUMMYFUNCTION("""COMPUTED_VALUE"""),"multiple")</f>
        <v>multiple</v>
      </c>
      <c r="M263" s="8">
        <f>IFERROR(__xludf.DUMMYFUNCTION("""COMPUTED_VALUE"""),8.0)</f>
        <v>8</v>
      </c>
      <c r="N263" s="8">
        <f>IFERROR(__xludf.DUMMYFUNCTION("""COMPUTED_VALUE"""),8.0)</f>
        <v>8</v>
      </c>
      <c r="O263" s="8"/>
      <c r="P263" s="8"/>
      <c r="Q263" s="8"/>
      <c r="R263" s="8"/>
      <c r="S263" s="8"/>
      <c r="T263" s="8"/>
      <c r="U263" s="8"/>
      <c r="V263" s="8"/>
      <c r="W263" s="8"/>
      <c r="X263" s="8"/>
      <c r="Y263" s="8"/>
      <c r="Z263" s="8"/>
    </row>
    <row r="264">
      <c r="A264" s="8">
        <f>IFERROR(__xludf.DUMMYFUNCTION("""COMPUTED_VALUE"""),593.0)</f>
        <v>593</v>
      </c>
      <c r="B264" s="8" t="str">
        <f>IFERROR(__xludf.DUMMYFUNCTION("""COMPUTED_VALUE"""),"tree")</f>
        <v>tree</v>
      </c>
      <c r="C264" s="8" t="str">
        <f>IFERROR(__xludf.DUMMYFUNCTION("""COMPUTED_VALUE"""),"graft")</f>
        <v>graft</v>
      </c>
      <c r="D264" s="55" t="str">
        <f>IFERROR(__xludf.DUMMYFUNCTION("""COMPUTED_VALUE"""),"Averrhoa carambola")</f>
        <v>Averrhoa carambola</v>
      </c>
      <c r="E264" s="8" t="str">
        <f>IFERROR(__xludf.DUMMYFUNCTION("""COMPUTED_VALUE"""),"ECHO seedling")</f>
        <v>ECHO seedling</v>
      </c>
      <c r="F264" s="8" t="str">
        <f>IFERROR(__xludf.DUMMYFUNCTION("""COMPUTED_VALUE"""),"Carambola")</f>
        <v>Carambola</v>
      </c>
      <c r="G264" s="8" t="str">
        <f>IFERROR(__xludf.DUMMYFUNCTION("""COMPUTED_VALUE"""),"Carambolier")</f>
        <v>Carambolier</v>
      </c>
      <c r="H264" s="8" t="str">
        <f>IFERROR(__xludf.DUMMYFUNCTION("""COMPUTED_VALUE"""),"seed")</f>
        <v>seed</v>
      </c>
      <c r="I264" s="8" t="str">
        <f>IFERROR(__xludf.DUMMYFUNCTION("""COMPUTED_VALUE"""),"110")</f>
        <v>110</v>
      </c>
      <c r="J264" s="8"/>
      <c r="K264" s="8"/>
      <c r="L264" s="8" t="str">
        <f>IFERROR(__xludf.DUMMYFUNCTION("""COMPUTED_VALUE"""),"multiple")</f>
        <v>multiple</v>
      </c>
      <c r="M264" s="8">
        <f>IFERROR(__xludf.DUMMYFUNCTION("""COMPUTED_VALUE"""),8.0)</f>
        <v>8</v>
      </c>
      <c r="N264" s="8">
        <f>IFERROR(__xludf.DUMMYFUNCTION("""COMPUTED_VALUE"""),8.0)</f>
        <v>8</v>
      </c>
      <c r="O264" s="8"/>
      <c r="P264" s="8"/>
      <c r="Q264" s="8"/>
      <c r="R264" s="8"/>
      <c r="S264" s="8"/>
      <c r="T264" s="8"/>
      <c r="U264" s="8"/>
      <c r="V264" s="8"/>
      <c r="W264" s="8"/>
      <c r="X264" s="8"/>
      <c r="Y264" s="8"/>
      <c r="Z264" s="8"/>
    </row>
    <row r="265">
      <c r="A265" s="8">
        <f>IFERROR(__xludf.DUMMYFUNCTION("""COMPUTED_VALUE"""),595.0)</f>
        <v>595</v>
      </c>
      <c r="B265" s="8" t="str">
        <f>IFERROR(__xludf.DUMMYFUNCTION("""COMPUTED_VALUE"""),"tree")</f>
        <v>tree</v>
      </c>
      <c r="C265" s="8" t="str">
        <f>IFERROR(__xludf.DUMMYFUNCTION("""COMPUTED_VALUE"""),"graft")</f>
        <v>graft</v>
      </c>
      <c r="D265" s="55" t="str">
        <f>IFERROR(__xludf.DUMMYFUNCTION("""COMPUTED_VALUE"""),"Artocarpus heterophyllus")</f>
        <v>Artocarpus heterophyllus</v>
      </c>
      <c r="E265" s="8" t="str">
        <f>IFERROR(__xludf.DUMMYFUNCTION("""COMPUTED_VALUE"""),"Red Seedling")</f>
        <v>Red Seedling</v>
      </c>
      <c r="F265" s="8" t="str">
        <f>IFERROR(__xludf.DUMMYFUNCTION("""COMPUTED_VALUE"""),"Jackfruit")</f>
        <v>Jackfruit</v>
      </c>
      <c r="G265" s="8" t="str">
        <f>IFERROR(__xludf.DUMMYFUNCTION("""COMPUTED_VALUE"""),"Jacquier")</f>
        <v>Jacquier</v>
      </c>
      <c r="H265" s="8" t="str">
        <f>IFERROR(__xludf.DUMMYFUNCTION("""COMPUTED_VALUE"""),"seed")</f>
        <v>seed</v>
      </c>
      <c r="I265" s="8" t="str">
        <f>IFERROR(__xludf.DUMMYFUNCTION("""COMPUTED_VALUE"""),"057")</f>
        <v>057</v>
      </c>
      <c r="J265" s="8"/>
      <c r="K265" s="8"/>
      <c r="L265" s="8" t="str">
        <f>IFERROR(__xludf.DUMMYFUNCTION("""COMPUTED_VALUE"""),"multiple")</f>
        <v>multiple</v>
      </c>
      <c r="M265" s="8">
        <f>IFERROR(__xludf.DUMMYFUNCTION("""COMPUTED_VALUE"""),2.0)</f>
        <v>2</v>
      </c>
      <c r="N265" s="8">
        <f>IFERROR(__xludf.DUMMYFUNCTION("""COMPUTED_VALUE"""),2.0)</f>
        <v>2</v>
      </c>
      <c r="O265" s="8"/>
      <c r="P265" s="8"/>
      <c r="Q265" s="8"/>
      <c r="R265" s="8"/>
      <c r="S265" s="8"/>
      <c r="T265" s="8"/>
      <c r="U265" s="8"/>
      <c r="V265" s="8"/>
      <c r="W265" s="8"/>
      <c r="X265" s="8"/>
      <c r="Y265" s="8"/>
      <c r="Z265" s="8"/>
    </row>
    <row r="266">
      <c r="A266" s="8">
        <f>IFERROR(__xludf.DUMMYFUNCTION("""COMPUTED_VALUE"""),597.0)</f>
        <v>597</v>
      </c>
      <c r="B266" s="8" t="str">
        <f>IFERROR(__xludf.DUMMYFUNCTION("""COMPUTED_VALUE"""),"tree")</f>
        <v>tree</v>
      </c>
      <c r="C266" s="8" t="str">
        <f>IFERROR(__xludf.DUMMYFUNCTION("""COMPUTED_VALUE"""),"graft")</f>
        <v>graft</v>
      </c>
      <c r="D266" s="55" t="str">
        <f>IFERROR(__xludf.DUMMYFUNCTION("""COMPUTED_VALUE"""),"Artocarpus heterophyllus")</f>
        <v>Artocarpus heterophyllus</v>
      </c>
      <c r="E266" s="8" t="str">
        <f>IFERROR(__xludf.DUMMYFUNCTION("""COMPUTED_VALUE"""),"Red Seedling")</f>
        <v>Red Seedling</v>
      </c>
      <c r="F266" s="8" t="str">
        <f>IFERROR(__xludf.DUMMYFUNCTION("""COMPUTED_VALUE"""),"Jackfruit")</f>
        <v>Jackfruit</v>
      </c>
      <c r="G266" s="8" t="str">
        <f>IFERROR(__xludf.DUMMYFUNCTION("""COMPUTED_VALUE"""),"Jacquier")</f>
        <v>Jacquier</v>
      </c>
      <c r="H266" s="8" t="str">
        <f>IFERROR(__xludf.DUMMYFUNCTION("""COMPUTED_VALUE"""),"seed")</f>
        <v>seed</v>
      </c>
      <c r="I266" s="8" t="str">
        <f>IFERROR(__xludf.DUMMYFUNCTION("""COMPUTED_VALUE"""),"076")</f>
        <v>076</v>
      </c>
      <c r="J266" s="8"/>
      <c r="K266" s="8"/>
      <c r="L266" s="8" t="str">
        <f>IFERROR(__xludf.DUMMYFUNCTION("""COMPUTED_VALUE"""),"multiple")</f>
        <v>multiple</v>
      </c>
      <c r="M266" s="8">
        <f>IFERROR(__xludf.DUMMYFUNCTION("""COMPUTED_VALUE"""),2.0)</f>
        <v>2</v>
      </c>
      <c r="N266" s="8">
        <f>IFERROR(__xludf.DUMMYFUNCTION("""COMPUTED_VALUE"""),2.0)</f>
        <v>2</v>
      </c>
      <c r="O266" s="8"/>
      <c r="P266" s="8"/>
      <c r="Q266" s="8"/>
      <c r="R266" s="8"/>
      <c r="S266" s="8"/>
      <c r="T266" s="8"/>
      <c r="U266" s="8"/>
      <c r="V266" s="8"/>
      <c r="W266" s="8"/>
      <c r="X266" s="8"/>
      <c r="Y266" s="8"/>
      <c r="Z266" s="8"/>
    </row>
    <row r="267">
      <c r="A267" s="8">
        <f>IFERROR(__xludf.DUMMYFUNCTION("""COMPUTED_VALUE"""),598.0)</f>
        <v>598</v>
      </c>
      <c r="B267" s="8" t="str">
        <f>IFERROR(__xludf.DUMMYFUNCTION("""COMPUTED_VALUE"""),"cashew")</f>
        <v>cashew</v>
      </c>
      <c r="C267" s="8" t="str">
        <f>IFERROR(__xludf.DUMMYFUNCTION("""COMPUTED_VALUE"""),"graft")</f>
        <v>graft</v>
      </c>
      <c r="D267" s="55" t="str">
        <f>IFERROR(__xludf.DUMMYFUNCTION("""COMPUTED_VALUE"""),"Anacardium occidentale")</f>
        <v>Anacardium occidentale</v>
      </c>
      <c r="E267" s="8" t="str">
        <f>IFERROR(__xludf.DUMMYFUNCTION("""COMPUTED_VALUE"""),"Z330 (Orange)")</f>
        <v>Z330 (Orange)</v>
      </c>
      <c r="F267" s="8" t="str">
        <f>IFERROR(__xludf.DUMMYFUNCTION("""COMPUTED_VALUE"""),"Cashew")</f>
        <v>Cashew</v>
      </c>
      <c r="G267" s="8" t="str">
        <f>IFERROR(__xludf.DUMMYFUNCTION("""COMPUTED_VALUE"""),"Anacardier")</f>
        <v>Anacardier</v>
      </c>
      <c r="H267" s="8" t="str">
        <f>IFERROR(__xludf.DUMMYFUNCTION("""COMPUTED_VALUE"""),"graft")</f>
        <v>graft</v>
      </c>
      <c r="I267" s="8"/>
      <c r="J267" s="8"/>
      <c r="K267" s="8"/>
      <c r="L267" s="8">
        <f>IFERROR(__xludf.DUMMYFUNCTION("""COMPUTED_VALUE"""),1.0)</f>
        <v>1</v>
      </c>
      <c r="M267" s="8">
        <f>IFERROR(__xludf.DUMMYFUNCTION("""COMPUTED_VALUE"""),0.0)</f>
        <v>0</v>
      </c>
      <c r="N267" s="8">
        <f>IFERROR(__xludf.DUMMYFUNCTION("""COMPUTED_VALUE"""),23.0)</f>
        <v>23</v>
      </c>
      <c r="O267" s="8"/>
      <c r="P267" s="8"/>
      <c r="Q267" s="8"/>
      <c r="R267" s="8"/>
      <c r="S267" s="8"/>
      <c r="T267" s="8"/>
      <c r="U267" s="8"/>
      <c r="V267" s="8"/>
      <c r="W267" s="8"/>
      <c r="X267" s="8"/>
      <c r="Y267" s="8"/>
      <c r="Z267" s="8"/>
    </row>
    <row r="268">
      <c r="A268" s="8">
        <f>IFERROR(__xludf.DUMMYFUNCTION("""COMPUTED_VALUE"""),599.0)</f>
        <v>599</v>
      </c>
      <c r="B268" s="8" t="str">
        <f>IFERROR(__xludf.DUMMYFUNCTION("""COMPUTED_VALUE"""),"tree")</f>
        <v>tree</v>
      </c>
      <c r="C268" s="8" t="str">
        <f>IFERROR(__xludf.DUMMYFUNCTION("""COMPUTED_VALUE"""),"air_layer")</f>
        <v>air_layer</v>
      </c>
      <c r="D268" s="55" t="str">
        <f>IFERROR(__xludf.DUMMYFUNCTION("""COMPUTED_VALUE"""),"Psidium guajava")</f>
        <v>Psidium guajava</v>
      </c>
      <c r="E268" s="8" t="str">
        <f>IFERROR(__xludf.DUMMYFUNCTION("""COMPUTED_VALUE"""),"Asian Seedling")</f>
        <v>Asian Seedling</v>
      </c>
      <c r="F268" s="8" t="str">
        <f>IFERROR(__xludf.DUMMYFUNCTION("""COMPUTED_VALUE"""),"Guava")</f>
        <v>Guava</v>
      </c>
      <c r="G268" s="8" t="str">
        <f>IFERROR(__xludf.DUMMYFUNCTION("""COMPUTED_VALUE"""),"Goyave")</f>
        <v>Goyave</v>
      </c>
      <c r="H268" s="8" t="str">
        <f>IFERROR(__xludf.DUMMYFUNCTION("""COMPUTED_VALUE"""),"Guava")</f>
        <v>Guava</v>
      </c>
      <c r="I268" s="8" t="str">
        <f>IFERROR(__xludf.DUMMYFUNCTION("""COMPUTED_VALUE"""),"132")</f>
        <v>132</v>
      </c>
      <c r="J268" s="8"/>
      <c r="K268" s="8"/>
      <c r="L268" s="8" t="str">
        <f>IFERROR(__xludf.DUMMYFUNCTION("""COMPUTED_VALUE"""),"multiple")</f>
        <v>multiple</v>
      </c>
      <c r="M268" s="8">
        <f>IFERROR(__xludf.DUMMYFUNCTION("""COMPUTED_VALUE"""),2.0)</f>
        <v>2</v>
      </c>
      <c r="N268" s="8">
        <f>IFERROR(__xludf.DUMMYFUNCTION("""COMPUTED_VALUE"""),2.0)</f>
        <v>2</v>
      </c>
      <c r="O268" s="8"/>
      <c r="P268" s="8"/>
      <c r="Q268" s="8"/>
      <c r="R268" s="8"/>
      <c r="S268" s="8"/>
      <c r="T268" s="8"/>
      <c r="U268" s="8"/>
      <c r="V268" s="8"/>
      <c r="W268" s="8"/>
      <c r="X268" s="8"/>
      <c r="Y268" s="8"/>
      <c r="Z268" s="8"/>
    </row>
    <row r="269">
      <c r="A269" s="8">
        <f>IFERROR(__xludf.DUMMYFUNCTION("""COMPUTED_VALUE"""),600.0)</f>
        <v>600</v>
      </c>
      <c r="B269" s="8" t="str">
        <f>IFERROR(__xludf.DUMMYFUNCTION("""COMPUTED_VALUE"""),"tree")</f>
        <v>tree</v>
      </c>
      <c r="C269" s="8" t="str">
        <f>IFERROR(__xludf.DUMMYFUNCTION("""COMPUTED_VALUE"""),"graft")</f>
        <v>graft</v>
      </c>
      <c r="D269" s="55" t="str">
        <f>IFERROR(__xludf.DUMMYFUNCTION("""COMPUTED_VALUE"""),"Diospyros nigra")</f>
        <v>Diospyros nigra</v>
      </c>
      <c r="E269" s="8" t="str">
        <f>IFERROR(__xludf.DUMMYFUNCTION("""COMPUTED_VALUE"""),"Seedling")</f>
        <v>Seedling</v>
      </c>
      <c r="F269" s="8" t="str">
        <f>IFERROR(__xludf.DUMMYFUNCTION("""COMPUTED_VALUE"""),"Black Sapote")</f>
        <v>Black Sapote</v>
      </c>
      <c r="G269" s="8" t="str">
        <f>IFERROR(__xludf.DUMMYFUNCTION("""COMPUTED_VALUE"""),"Sapote noire")</f>
        <v>Sapote noire</v>
      </c>
      <c r="H269" s="8" t="str">
        <f>IFERROR(__xludf.DUMMYFUNCTION("""COMPUTED_VALUE"""),"Black Sapote")</f>
        <v>Black Sapote</v>
      </c>
      <c r="I269" s="8" t="str">
        <f>IFERROR(__xludf.DUMMYFUNCTION("""COMPUTED_VALUE"""),"141")</f>
        <v>141</v>
      </c>
      <c r="J269" s="8"/>
      <c r="K269" s="8"/>
      <c r="L269" s="8" t="str">
        <f>IFERROR(__xludf.DUMMYFUNCTION("""COMPUTED_VALUE"""),"multiple")</f>
        <v>multiple</v>
      </c>
      <c r="M269" s="8">
        <f>IFERROR(__xludf.DUMMYFUNCTION("""COMPUTED_VALUE"""),0.0)</f>
        <v>0</v>
      </c>
      <c r="N269" s="8">
        <f>IFERROR(__xludf.DUMMYFUNCTION("""COMPUTED_VALUE"""),1.0)</f>
        <v>1</v>
      </c>
      <c r="O269" s="8"/>
      <c r="P269" s="8"/>
      <c r="Q269" s="8"/>
      <c r="R269" s="8"/>
      <c r="S269" s="8"/>
      <c r="T269" s="8"/>
      <c r="U269" s="8"/>
      <c r="V269" s="8"/>
      <c r="W269" s="8"/>
      <c r="X269" s="8"/>
      <c r="Y269" s="8"/>
      <c r="Z269" s="8"/>
    </row>
    <row r="270">
      <c r="A270" s="8">
        <f>IFERROR(__xludf.DUMMYFUNCTION("""COMPUTED_VALUE"""),601.0)</f>
        <v>601</v>
      </c>
      <c r="B270" s="8" t="str">
        <f>IFERROR(__xludf.DUMMYFUNCTION("""COMPUTED_VALUE"""),"tree")</f>
        <v>tree</v>
      </c>
      <c r="C270" s="8" t="str">
        <f>IFERROR(__xludf.DUMMYFUNCTION("""COMPUTED_VALUE"""),"graft")</f>
        <v>graft</v>
      </c>
      <c r="D270" s="55" t="str">
        <f>IFERROR(__xludf.DUMMYFUNCTION("""COMPUTED_VALUE"""),"Persea americana")</f>
        <v>Persea americana</v>
      </c>
      <c r="E270" s="8" t="str">
        <f>IFERROR(__xludf.DUMMYFUNCTION("""COMPUTED_VALUE"""),"Monroe")</f>
        <v>Monroe</v>
      </c>
      <c r="F270" s="8" t="str">
        <f>IFERROR(__xludf.DUMMYFUNCTION("""COMPUTED_VALUE"""),"Avocado")</f>
        <v>Avocado</v>
      </c>
      <c r="G270" s="8" t="str">
        <f>IFERROR(__xludf.DUMMYFUNCTION("""COMPUTED_VALUE"""),"Avocat")</f>
        <v>Avocat</v>
      </c>
      <c r="H270" s="8" t="str">
        <f>IFERROR(__xludf.DUMMYFUNCTION("""COMPUTED_VALUE"""),"Avocado")</f>
        <v>Avocado</v>
      </c>
      <c r="I270" s="8"/>
      <c r="J270" s="8"/>
      <c r="K270" s="8"/>
      <c r="L270" s="8">
        <f>IFERROR(__xludf.DUMMYFUNCTION("""COMPUTED_VALUE"""),1.0)</f>
        <v>1</v>
      </c>
      <c r="M270" s="8">
        <f>IFERROR(__xludf.DUMMYFUNCTION("""COMPUTED_VALUE"""),0.0)</f>
        <v>0</v>
      </c>
      <c r="N270" s="8">
        <f>IFERROR(__xludf.DUMMYFUNCTION("""COMPUTED_VALUE"""),2.0)</f>
        <v>2</v>
      </c>
      <c r="O270" s="8"/>
      <c r="P270" s="8"/>
      <c r="Q270" s="8"/>
      <c r="R270" s="8"/>
      <c r="S270" s="8"/>
      <c r="T270" s="8"/>
      <c r="U270" s="8"/>
      <c r="V270" s="8"/>
      <c r="W270" s="8"/>
      <c r="X270" s="8"/>
      <c r="Y270" s="8"/>
      <c r="Z270" s="8"/>
    </row>
    <row r="271">
      <c r="A271" s="8">
        <f>IFERROR(__xludf.DUMMYFUNCTION("""COMPUTED_VALUE"""),602.0)</f>
        <v>602</v>
      </c>
      <c r="B271" s="8" t="str">
        <f>IFERROR(__xludf.DUMMYFUNCTION("""COMPUTED_VALUE"""),"tree")</f>
        <v>tree</v>
      </c>
      <c r="C271" s="8" t="str">
        <f>IFERROR(__xludf.DUMMYFUNCTION("""COMPUTED_VALUE"""),"graft")</f>
        <v>graft</v>
      </c>
      <c r="D271" s="55" t="str">
        <f>IFERROR(__xludf.DUMMYFUNCTION("""COMPUTED_VALUE"""),"Diospyros kaki")</f>
        <v>Diospyros kaki</v>
      </c>
      <c r="E271" s="8" t="str">
        <f>IFERROR(__xludf.DUMMYFUNCTION("""COMPUTED_VALUE"""),"Hachiya")</f>
        <v>Hachiya</v>
      </c>
      <c r="F271" s="8" t="str">
        <f>IFERROR(__xludf.DUMMYFUNCTION("""COMPUTED_VALUE"""),"Asian Persimmon")</f>
        <v>Asian Persimmon</v>
      </c>
      <c r="G271" s="8" t="str">
        <f>IFERROR(__xludf.DUMMYFUNCTION("""COMPUTED_VALUE"""),"Kaki asiatique")</f>
        <v>Kaki asiatique</v>
      </c>
      <c r="H271" s="8" t="str">
        <f>IFERROR(__xludf.DUMMYFUNCTION("""COMPUTED_VALUE"""),"Asian Persimmon")</f>
        <v>Asian Persimmon</v>
      </c>
      <c r="I271" s="8" t="str">
        <f>IFERROR(__xludf.DUMMYFUNCTION("""COMPUTED_VALUE"""),"164")</f>
        <v>164</v>
      </c>
      <c r="J271" s="8"/>
      <c r="K271" s="8">
        <f>IFERROR(__xludf.DUMMYFUNCTION("""COMPUTED_VALUE"""),672.0)</f>
        <v>672</v>
      </c>
      <c r="L271" s="8"/>
      <c r="M271" s="8">
        <f>IFERROR(__xludf.DUMMYFUNCTION("""COMPUTED_VALUE"""),2.0)</f>
        <v>2</v>
      </c>
      <c r="N271" s="8">
        <f>IFERROR(__xludf.DUMMYFUNCTION("""COMPUTED_VALUE"""),2.0)</f>
        <v>2</v>
      </c>
      <c r="O271" s="8"/>
      <c r="P271" s="8"/>
      <c r="Q271" s="8"/>
      <c r="R271" s="8"/>
      <c r="S271" s="8"/>
      <c r="T271" s="8"/>
      <c r="U271" s="8"/>
      <c r="V271" s="8"/>
      <c r="W271" s="8"/>
      <c r="X271" s="8"/>
      <c r="Y271" s="8"/>
      <c r="Z271" s="8"/>
    </row>
    <row r="272">
      <c r="A272" s="8">
        <f>IFERROR(__xludf.DUMMYFUNCTION("""COMPUTED_VALUE"""),603.0)</f>
        <v>603</v>
      </c>
      <c r="B272" s="8" t="str">
        <f>IFERROR(__xludf.DUMMYFUNCTION("""COMPUTED_VALUE"""),"tree")</f>
        <v>tree</v>
      </c>
      <c r="C272" s="8" t="str">
        <f>IFERROR(__xludf.DUMMYFUNCTION("""COMPUTED_VALUE"""),"graft")</f>
        <v>graft</v>
      </c>
      <c r="D272" s="55" t="str">
        <f>IFERROR(__xludf.DUMMYFUNCTION("""COMPUTED_VALUE"""),"Persea americana")</f>
        <v>Persea americana</v>
      </c>
      <c r="E272" s="8" t="str">
        <f>IFERROR(__xludf.DUMMYFUNCTION("""COMPUTED_VALUE"""),"Winter Mexican")</f>
        <v>Winter Mexican</v>
      </c>
      <c r="F272" s="8" t="str">
        <f>IFERROR(__xludf.DUMMYFUNCTION("""COMPUTED_VALUE"""),"Avocado")</f>
        <v>Avocado</v>
      </c>
      <c r="G272" s="8" t="str">
        <f>IFERROR(__xludf.DUMMYFUNCTION("""COMPUTED_VALUE"""),"Avocat")</f>
        <v>Avocat</v>
      </c>
      <c r="H272" s="8" t="str">
        <f>IFERROR(__xludf.DUMMYFUNCTION("""COMPUTED_VALUE"""),"Avocado")</f>
        <v>Avocado</v>
      </c>
      <c r="I272" s="8"/>
      <c r="J272" s="8"/>
      <c r="K272" s="8"/>
      <c r="L272" s="8">
        <f>IFERROR(__xludf.DUMMYFUNCTION("""COMPUTED_VALUE"""),1.0)</f>
        <v>1</v>
      </c>
      <c r="M272" s="8">
        <f>IFERROR(__xludf.DUMMYFUNCTION("""COMPUTED_VALUE"""),0.0)</f>
        <v>0</v>
      </c>
      <c r="N272" s="8">
        <f>IFERROR(__xludf.DUMMYFUNCTION("""COMPUTED_VALUE"""),1.0)</f>
        <v>1</v>
      </c>
      <c r="O272" s="8"/>
      <c r="P272" s="8"/>
      <c r="Q272" s="8"/>
      <c r="R272" s="8"/>
      <c r="S272" s="8"/>
      <c r="T272" s="8"/>
      <c r="U272" s="8"/>
      <c r="V272" s="8"/>
      <c r="W272" s="8"/>
      <c r="X272" s="8"/>
      <c r="Y272" s="8"/>
      <c r="Z272" s="8"/>
    </row>
    <row r="273">
      <c r="A273" s="8">
        <f>IFERROR(__xludf.DUMMYFUNCTION("""COMPUTED_VALUE"""),604.0)</f>
        <v>604</v>
      </c>
      <c r="B273" s="8" t="str">
        <f>IFERROR(__xludf.DUMMYFUNCTION("""COMPUTED_VALUE"""),"tree")</f>
        <v>tree</v>
      </c>
      <c r="C273" s="8" t="str">
        <f>IFERROR(__xludf.DUMMYFUNCTION("""COMPUTED_VALUE"""),"graft")</f>
        <v>graft</v>
      </c>
      <c r="D273" s="55" t="str">
        <f>IFERROR(__xludf.DUMMYFUNCTION("""COMPUTED_VALUE"""),"Persea americana")</f>
        <v>Persea americana</v>
      </c>
      <c r="E273" s="8" t="str">
        <f>IFERROR(__xludf.DUMMYFUNCTION("""COMPUTED_VALUE"""),"Day")</f>
        <v>Day</v>
      </c>
      <c r="F273" s="8" t="str">
        <f>IFERROR(__xludf.DUMMYFUNCTION("""COMPUTED_VALUE"""),"Avocado")</f>
        <v>Avocado</v>
      </c>
      <c r="G273" s="8" t="str">
        <f>IFERROR(__xludf.DUMMYFUNCTION("""COMPUTED_VALUE"""),"Avocat")</f>
        <v>Avocat</v>
      </c>
      <c r="H273" s="8" t="str">
        <f>IFERROR(__xludf.DUMMYFUNCTION("""COMPUTED_VALUE"""),"Avocado")</f>
        <v>Avocado</v>
      </c>
      <c r="I273" s="8" t="str">
        <f>IFERROR(__xludf.DUMMYFUNCTION("""COMPUTED_VALUE"""),"197")</f>
        <v>197</v>
      </c>
      <c r="J273" s="8"/>
      <c r="K273" s="8"/>
      <c r="L273" s="8">
        <f>IFERROR(__xludf.DUMMYFUNCTION("""COMPUTED_VALUE"""),1.0)</f>
        <v>1</v>
      </c>
      <c r="M273" s="8">
        <f>IFERROR(__xludf.DUMMYFUNCTION("""COMPUTED_VALUE"""),3.0)</f>
        <v>3</v>
      </c>
      <c r="N273" s="8">
        <f>IFERROR(__xludf.DUMMYFUNCTION("""COMPUTED_VALUE"""),3.0)</f>
        <v>3</v>
      </c>
      <c r="O273" s="8"/>
      <c r="P273" s="8"/>
      <c r="Q273" s="8"/>
      <c r="R273" s="8"/>
      <c r="S273" s="8"/>
      <c r="T273" s="8"/>
      <c r="U273" s="8"/>
      <c r="V273" s="8"/>
      <c r="W273" s="8"/>
      <c r="X273" s="8"/>
      <c r="Y273" s="8"/>
      <c r="Z273" s="8"/>
    </row>
    <row r="274">
      <c r="A274" s="8">
        <f>IFERROR(__xludf.DUMMYFUNCTION("""COMPUTED_VALUE"""),605.0)</f>
        <v>605</v>
      </c>
      <c r="B274" s="8" t="str">
        <f>IFERROR(__xludf.DUMMYFUNCTION("""COMPUTED_VALUE"""),"tree")</f>
        <v>tree</v>
      </c>
      <c r="C274" s="8" t="str">
        <f>IFERROR(__xludf.DUMMYFUNCTION("""COMPUTED_VALUE"""),"graft")</f>
        <v>graft</v>
      </c>
      <c r="D274" s="55" t="str">
        <f>IFERROR(__xludf.DUMMYFUNCTION("""COMPUTED_VALUE"""),"Persea americana")</f>
        <v>Persea americana</v>
      </c>
      <c r="E274" s="8" t="str">
        <f>IFERROR(__xludf.DUMMYFUNCTION("""COMPUTED_VALUE"""),"Day")</f>
        <v>Day</v>
      </c>
      <c r="F274" s="8" t="str">
        <f>IFERROR(__xludf.DUMMYFUNCTION("""COMPUTED_VALUE"""),"Avocado")</f>
        <v>Avocado</v>
      </c>
      <c r="G274" s="8" t="str">
        <f>IFERROR(__xludf.DUMMYFUNCTION("""COMPUTED_VALUE"""),"Avocat")</f>
        <v>Avocat</v>
      </c>
      <c r="H274" s="8" t="str">
        <f>IFERROR(__xludf.DUMMYFUNCTION("""COMPUTED_VALUE"""),"Avocado")</f>
        <v>Avocado</v>
      </c>
      <c r="I274" s="8" t="str">
        <f>IFERROR(__xludf.DUMMYFUNCTION("""COMPUTED_VALUE"""),"170")</f>
        <v>170</v>
      </c>
      <c r="J274" s="8"/>
      <c r="K274" s="8"/>
      <c r="L274" s="8">
        <f>IFERROR(__xludf.DUMMYFUNCTION("""COMPUTED_VALUE"""),1.0)</f>
        <v>1</v>
      </c>
      <c r="M274" s="8">
        <f>IFERROR(__xludf.DUMMYFUNCTION("""COMPUTED_VALUE"""),3.0)</f>
        <v>3</v>
      </c>
      <c r="N274" s="8">
        <f>IFERROR(__xludf.DUMMYFUNCTION("""COMPUTED_VALUE"""),3.0)</f>
        <v>3</v>
      </c>
      <c r="O274" s="8"/>
      <c r="P274" s="8"/>
      <c r="Q274" s="8"/>
      <c r="R274" s="8"/>
      <c r="S274" s="8"/>
      <c r="T274" s="8"/>
      <c r="U274" s="8"/>
      <c r="V274" s="8"/>
      <c r="W274" s="8"/>
      <c r="X274" s="8"/>
      <c r="Y274" s="8"/>
      <c r="Z274" s="8"/>
    </row>
    <row r="275">
      <c r="A275" s="8">
        <f>IFERROR(__xludf.DUMMYFUNCTION("""COMPUTED_VALUE"""),606.0)</f>
        <v>606</v>
      </c>
      <c r="B275" s="8" t="str">
        <f>IFERROR(__xludf.DUMMYFUNCTION("""COMPUTED_VALUE"""),"perennial")</f>
        <v>perennial</v>
      </c>
      <c r="C275" s="8" t="str">
        <f>IFERROR(__xludf.DUMMYFUNCTION("""COMPUTED_VALUE"""),"cutting")</f>
        <v>cutting</v>
      </c>
      <c r="D275" s="55" t="str">
        <f>IFERROR(__xludf.DUMMYFUNCTION("""COMPUTED_VALUE"""),"Hylocereus polyrhizus")</f>
        <v>Hylocereus polyrhizus</v>
      </c>
      <c r="E275" s="8" t="str">
        <f>IFERROR(__xludf.DUMMYFUNCTION("""COMPUTED_VALUE"""),"Asunta")</f>
        <v>Asunta</v>
      </c>
      <c r="F275" s="8" t="str">
        <f>IFERROR(__xludf.DUMMYFUNCTION("""COMPUTED_VALUE"""),"Dragon Fruit")</f>
        <v>Dragon Fruit</v>
      </c>
      <c r="G275" s="8" t="str">
        <f>IFERROR(__xludf.DUMMYFUNCTION("""COMPUTED_VALUE"""),"Fruit du dragon")</f>
        <v>Fruit du dragon</v>
      </c>
      <c r="H275" s="8" t="str">
        <f>IFERROR(__xludf.DUMMYFUNCTION("""COMPUTED_VALUE"""),"Dragon Fruit")</f>
        <v>Dragon Fruit</v>
      </c>
      <c r="I275" s="8" t="str">
        <f>IFERROR(__xludf.DUMMYFUNCTION("""COMPUTED_VALUE"""),"D13")</f>
        <v>D13</v>
      </c>
      <c r="J275" s="8"/>
      <c r="K275" s="8"/>
      <c r="L275" s="8" t="str">
        <f>IFERROR(__xludf.DUMMYFUNCTION("""COMPUTED_VALUE"""),"multiple")</f>
        <v>multiple</v>
      </c>
      <c r="M275" s="8">
        <f>IFERROR(__xludf.DUMMYFUNCTION("""COMPUTED_VALUE"""),1.0)</f>
        <v>1</v>
      </c>
      <c r="N275" s="8">
        <f>IFERROR(__xludf.DUMMYFUNCTION("""COMPUTED_VALUE"""),1.0)</f>
        <v>1</v>
      </c>
      <c r="O275" s="8"/>
      <c r="P275" s="8"/>
      <c r="Q275" s="8"/>
      <c r="R275" s="8"/>
      <c r="S275" s="8"/>
      <c r="T275" s="8"/>
      <c r="U275" s="8"/>
      <c r="V275" s="8"/>
      <c r="W275" s="8"/>
      <c r="X275" s="8"/>
      <c r="Y275" s="8"/>
      <c r="Z275" s="8"/>
    </row>
    <row r="276">
      <c r="A276" s="8">
        <f>IFERROR(__xludf.DUMMYFUNCTION("""COMPUTED_VALUE"""),607.0)</f>
        <v>607</v>
      </c>
      <c r="B276" s="8" t="str">
        <f>IFERROR(__xludf.DUMMYFUNCTION("""COMPUTED_VALUE"""),"tree")</f>
        <v>tree</v>
      </c>
      <c r="C276" s="8" t="str">
        <f>IFERROR(__xludf.DUMMYFUNCTION("""COMPUTED_VALUE"""),"air_layer")</f>
        <v>air_layer</v>
      </c>
      <c r="D276" s="55" t="str">
        <f>IFERROR(__xludf.DUMMYFUNCTION("""COMPUTED_VALUE"""),"Psidium guajava")</f>
        <v>Psidium guajava</v>
      </c>
      <c r="E276" s="8" t="str">
        <f>IFERROR(__xludf.DUMMYFUNCTION("""COMPUTED_VALUE"""),"Asian Seedling")</f>
        <v>Asian Seedling</v>
      </c>
      <c r="F276" s="8" t="str">
        <f>IFERROR(__xludf.DUMMYFUNCTION("""COMPUTED_VALUE"""),"Guava")</f>
        <v>Guava</v>
      </c>
      <c r="G276" s="8" t="str">
        <f>IFERROR(__xludf.DUMMYFUNCTION("""COMPUTED_VALUE"""),"Goyave")</f>
        <v>Goyave</v>
      </c>
      <c r="H276" s="8" t="str">
        <f>IFERROR(__xludf.DUMMYFUNCTION("""COMPUTED_VALUE"""),"Guava")</f>
        <v>Guava</v>
      </c>
      <c r="I276" s="8" t="str">
        <f>IFERROR(__xludf.DUMMYFUNCTION("""COMPUTED_VALUE"""),"153")</f>
        <v>153</v>
      </c>
      <c r="J276" s="8"/>
      <c r="K276" s="8"/>
      <c r="L276" s="8" t="str">
        <f>IFERROR(__xludf.DUMMYFUNCTION("""COMPUTED_VALUE"""),"multiple")</f>
        <v>multiple</v>
      </c>
      <c r="M276" s="8">
        <f>IFERROR(__xludf.DUMMYFUNCTION("""COMPUTED_VALUE"""),2.0)</f>
        <v>2</v>
      </c>
      <c r="N276" s="8">
        <f>IFERROR(__xludf.DUMMYFUNCTION("""COMPUTED_VALUE"""),2.0)</f>
        <v>2</v>
      </c>
      <c r="O276" s="8"/>
      <c r="P276" s="8"/>
      <c r="Q276" s="8"/>
      <c r="R276" s="8"/>
      <c r="S276" s="8"/>
      <c r="T276" s="8"/>
      <c r="U276" s="8"/>
      <c r="V276" s="8"/>
      <c r="W276" s="8"/>
      <c r="X276" s="8"/>
      <c r="Y276" s="8"/>
      <c r="Z276" s="8"/>
    </row>
    <row r="277">
      <c r="A277" s="8">
        <f>IFERROR(__xludf.DUMMYFUNCTION("""COMPUTED_VALUE"""),608.0)</f>
        <v>608</v>
      </c>
      <c r="B277" s="8" t="str">
        <f>IFERROR(__xludf.DUMMYFUNCTION("""COMPUTED_VALUE"""),"perennial")</f>
        <v>perennial</v>
      </c>
      <c r="C277" s="8" t="str">
        <f>IFERROR(__xludf.DUMMYFUNCTION("""COMPUTED_VALUE"""),"cutting")</f>
        <v>cutting</v>
      </c>
      <c r="D277" s="55" t="str">
        <f>IFERROR(__xludf.DUMMYFUNCTION("""COMPUTED_VALUE"""),"Hylocereus polyrhizus")</f>
        <v>Hylocereus polyrhizus</v>
      </c>
      <c r="E277" s="8" t="str">
        <f>IFERROR(__xludf.DUMMYFUNCTION("""COMPUTED_VALUE"""),"Cebra")</f>
        <v>Cebra</v>
      </c>
      <c r="F277" s="8" t="str">
        <f>IFERROR(__xludf.DUMMYFUNCTION("""COMPUTED_VALUE"""),"Dragon Fruit")</f>
        <v>Dragon Fruit</v>
      </c>
      <c r="G277" s="8" t="str">
        <f>IFERROR(__xludf.DUMMYFUNCTION("""COMPUTED_VALUE"""),"Fruit du dragon")</f>
        <v>Fruit du dragon</v>
      </c>
      <c r="H277" s="8" t="str">
        <f>IFERROR(__xludf.DUMMYFUNCTION("""COMPUTED_VALUE"""),"Dragon Fruit")</f>
        <v>Dragon Fruit</v>
      </c>
      <c r="I277" s="8" t="str">
        <f>IFERROR(__xludf.DUMMYFUNCTION("""COMPUTED_VALUE"""),"D02")</f>
        <v>D02</v>
      </c>
      <c r="J277" s="8"/>
      <c r="K277" s="8"/>
      <c r="L277" s="8" t="str">
        <f>IFERROR(__xludf.DUMMYFUNCTION("""COMPUTED_VALUE"""),"multiple")</f>
        <v>multiple</v>
      </c>
      <c r="M277" s="8">
        <f>IFERROR(__xludf.DUMMYFUNCTION("""COMPUTED_VALUE"""),8.0)</f>
        <v>8</v>
      </c>
      <c r="N277" s="8">
        <f>IFERROR(__xludf.DUMMYFUNCTION("""COMPUTED_VALUE"""),8.0)</f>
        <v>8</v>
      </c>
      <c r="O277" s="8"/>
      <c r="P277" s="8"/>
      <c r="Q277" s="8"/>
      <c r="R277" s="8"/>
      <c r="S277" s="8"/>
      <c r="T277" s="8"/>
      <c r="U277" s="8"/>
      <c r="V277" s="8"/>
      <c r="W277" s="8"/>
      <c r="X277" s="8"/>
      <c r="Y277" s="8"/>
      <c r="Z277" s="8"/>
    </row>
    <row r="278">
      <c r="A278" s="8">
        <f>IFERROR(__xludf.DUMMYFUNCTION("""COMPUTED_VALUE"""),609.0)</f>
        <v>609</v>
      </c>
      <c r="B278" s="8" t="str">
        <f>IFERROR(__xludf.DUMMYFUNCTION("""COMPUTED_VALUE"""),"perennial")</f>
        <v>perennial</v>
      </c>
      <c r="C278" s="8" t="str">
        <f>IFERROR(__xludf.DUMMYFUNCTION("""COMPUTED_VALUE"""),"cutting")</f>
        <v>cutting</v>
      </c>
      <c r="D278" s="55" t="str">
        <f>IFERROR(__xludf.DUMMYFUNCTION("""COMPUTED_VALUE"""),"Hylocereus polyrhizus")</f>
        <v>Hylocereus polyrhizus</v>
      </c>
      <c r="E278" s="8" t="str">
        <f>IFERROR(__xludf.DUMMYFUNCTION("""COMPUTED_VALUE"""),"Cosmic Charlie")</f>
        <v>Cosmic Charlie</v>
      </c>
      <c r="F278" s="8" t="str">
        <f>IFERROR(__xludf.DUMMYFUNCTION("""COMPUTED_VALUE"""),"Dragon Fruit")</f>
        <v>Dragon Fruit</v>
      </c>
      <c r="G278" s="8" t="str">
        <f>IFERROR(__xludf.DUMMYFUNCTION("""COMPUTED_VALUE"""),"Fruit du dragon")</f>
        <v>Fruit du dragon</v>
      </c>
      <c r="H278" s="8" t="str">
        <f>IFERROR(__xludf.DUMMYFUNCTION("""COMPUTED_VALUE"""),"Dragon Fruit")</f>
        <v>Dragon Fruit</v>
      </c>
      <c r="I278" s="8" t="str">
        <f>IFERROR(__xludf.DUMMYFUNCTION("""COMPUTED_VALUE"""),"D11")</f>
        <v>D11</v>
      </c>
      <c r="J278" s="8"/>
      <c r="K278" s="8"/>
      <c r="L278" s="8" t="str">
        <f>IFERROR(__xludf.DUMMYFUNCTION("""COMPUTED_VALUE"""),"multiple")</f>
        <v>multiple</v>
      </c>
      <c r="M278" s="8">
        <f>IFERROR(__xludf.DUMMYFUNCTION("""COMPUTED_VALUE"""),1.0)</f>
        <v>1</v>
      </c>
      <c r="N278" s="8">
        <f>IFERROR(__xludf.DUMMYFUNCTION("""COMPUTED_VALUE"""),1.0)</f>
        <v>1</v>
      </c>
      <c r="O278" s="8"/>
      <c r="P278" s="8"/>
      <c r="Q278" s="8"/>
      <c r="R278" s="8"/>
      <c r="S278" s="8"/>
      <c r="T278" s="8"/>
      <c r="U278" s="8"/>
      <c r="V278" s="8"/>
      <c r="W278" s="8"/>
      <c r="X278" s="8"/>
      <c r="Y278" s="8"/>
      <c r="Z278" s="8"/>
    </row>
    <row r="279">
      <c r="A279" s="8">
        <f>IFERROR(__xludf.DUMMYFUNCTION("""COMPUTED_VALUE"""),610.0)</f>
        <v>610</v>
      </c>
      <c r="B279" s="8" t="str">
        <f>IFERROR(__xludf.DUMMYFUNCTION("""COMPUTED_VALUE"""),"tree")</f>
        <v>tree</v>
      </c>
      <c r="C279" s="8" t="str">
        <f>IFERROR(__xludf.DUMMYFUNCTION("""COMPUTED_VALUE"""),"graft")</f>
        <v>graft</v>
      </c>
      <c r="D279" s="55" t="str">
        <f>IFERROR(__xludf.DUMMYFUNCTION("""COMPUTED_VALUE"""),"Persea americana")</f>
        <v>Persea americana</v>
      </c>
      <c r="E279" s="8" t="str">
        <f>IFERROR(__xludf.DUMMYFUNCTION("""COMPUTED_VALUE"""),"Brogdon")</f>
        <v>Brogdon</v>
      </c>
      <c r="F279" s="8" t="str">
        <f>IFERROR(__xludf.DUMMYFUNCTION("""COMPUTED_VALUE"""),"Avocado")</f>
        <v>Avocado</v>
      </c>
      <c r="G279" s="8" t="str">
        <f>IFERROR(__xludf.DUMMYFUNCTION("""COMPUTED_VALUE"""),"Avocat")</f>
        <v>Avocat</v>
      </c>
      <c r="H279" s="8" t="str">
        <f>IFERROR(__xludf.DUMMYFUNCTION("""COMPUTED_VALUE"""),"Avocado")</f>
        <v>Avocado</v>
      </c>
      <c r="I279" s="8"/>
      <c r="J279" s="8"/>
      <c r="K279" s="8"/>
      <c r="L279" s="8">
        <f>IFERROR(__xludf.DUMMYFUNCTION("""COMPUTED_VALUE"""),1.0)</f>
        <v>1</v>
      </c>
      <c r="M279" s="8">
        <f>IFERROR(__xludf.DUMMYFUNCTION("""COMPUTED_VALUE"""),1.0)</f>
        <v>1</v>
      </c>
      <c r="N279" s="8">
        <f>IFERROR(__xludf.DUMMYFUNCTION("""COMPUTED_VALUE"""),1.0)</f>
        <v>1</v>
      </c>
      <c r="O279" s="8"/>
      <c r="P279" s="8"/>
      <c r="Q279" s="8"/>
      <c r="R279" s="8"/>
      <c r="S279" s="8"/>
      <c r="T279" s="8"/>
      <c r="U279" s="8"/>
      <c r="V279" s="8"/>
      <c r="W279" s="8"/>
      <c r="X279" s="8"/>
      <c r="Y279" s="8"/>
      <c r="Z279" s="8"/>
    </row>
    <row r="280">
      <c r="A280" s="8">
        <f>IFERROR(__xludf.DUMMYFUNCTION("""COMPUTED_VALUE"""),611.0)</f>
        <v>611</v>
      </c>
      <c r="B280" s="8" t="str">
        <f>IFERROR(__xludf.DUMMYFUNCTION("""COMPUTED_VALUE"""),"perennial")</f>
        <v>perennial</v>
      </c>
      <c r="C280" s="8" t="str">
        <f>IFERROR(__xludf.DUMMYFUNCTION("""COMPUTED_VALUE"""),"cutting")</f>
        <v>cutting</v>
      </c>
      <c r="D280" s="55" t="str">
        <f>IFERROR(__xludf.DUMMYFUNCTION("""COMPUTED_VALUE"""),"Hylocereus polyrhizus")</f>
        <v>Hylocereus polyrhizus</v>
      </c>
      <c r="E280" s="8" t="str">
        <f>IFERROR(__xludf.DUMMYFUNCTION("""COMPUTED_VALUE"""),"Dark Star")</f>
        <v>Dark Star</v>
      </c>
      <c r="F280" s="8" t="str">
        <f>IFERROR(__xludf.DUMMYFUNCTION("""COMPUTED_VALUE"""),"Dragon Fruit")</f>
        <v>Dragon Fruit</v>
      </c>
      <c r="G280" s="8" t="str">
        <f>IFERROR(__xludf.DUMMYFUNCTION("""COMPUTED_VALUE"""),"Fruit du dragon")</f>
        <v>Fruit du dragon</v>
      </c>
      <c r="H280" s="8" t="str">
        <f>IFERROR(__xludf.DUMMYFUNCTION("""COMPUTED_VALUE"""),"Dragon Fruit")</f>
        <v>Dragon Fruit</v>
      </c>
      <c r="I280" s="8" t="str">
        <f>IFERROR(__xludf.DUMMYFUNCTION("""COMPUTED_VALUE"""),"D23")</f>
        <v>D23</v>
      </c>
      <c r="J280" s="8"/>
      <c r="K280" s="8"/>
      <c r="L280" s="8" t="str">
        <f>IFERROR(__xludf.DUMMYFUNCTION("""COMPUTED_VALUE"""),"multiple")</f>
        <v>multiple</v>
      </c>
      <c r="M280" s="8">
        <f>IFERROR(__xludf.DUMMYFUNCTION("""COMPUTED_VALUE"""),0.0)</f>
        <v>0</v>
      </c>
      <c r="N280" s="8">
        <f>IFERROR(__xludf.DUMMYFUNCTION("""COMPUTED_VALUE"""),0.0)</f>
        <v>0</v>
      </c>
      <c r="O280" s="8"/>
      <c r="P280" s="8"/>
      <c r="Q280" s="8"/>
      <c r="R280" s="8"/>
      <c r="S280" s="8"/>
      <c r="T280" s="8"/>
      <c r="U280" s="8"/>
      <c r="V280" s="8"/>
      <c r="W280" s="8"/>
      <c r="X280" s="8"/>
      <c r="Y280" s="8"/>
      <c r="Z280" s="8"/>
    </row>
    <row r="281">
      <c r="A281" s="8">
        <f>IFERROR(__xludf.DUMMYFUNCTION("""COMPUTED_VALUE"""),612.0)</f>
        <v>612</v>
      </c>
      <c r="B281" s="8" t="str">
        <f>IFERROR(__xludf.DUMMYFUNCTION("""COMPUTED_VALUE"""),"perennial")</f>
        <v>perennial</v>
      </c>
      <c r="C281" s="8" t="str">
        <f>IFERROR(__xludf.DUMMYFUNCTION("""COMPUTED_VALUE"""),"cutting")</f>
        <v>cutting</v>
      </c>
      <c r="D281" s="55" t="str">
        <f>IFERROR(__xludf.DUMMYFUNCTION("""COMPUTED_VALUE"""),"Hylocereus polyrhizus")</f>
        <v>Hylocereus polyrhizus</v>
      </c>
      <c r="E281" s="8" t="str">
        <f>IFERROR(__xludf.DUMMYFUNCTION("""COMPUTED_VALUE"""),"Delight")</f>
        <v>Delight</v>
      </c>
      <c r="F281" s="8" t="str">
        <f>IFERROR(__xludf.DUMMYFUNCTION("""COMPUTED_VALUE"""),"Dragon Fruit")</f>
        <v>Dragon Fruit</v>
      </c>
      <c r="G281" s="8" t="str">
        <f>IFERROR(__xludf.DUMMYFUNCTION("""COMPUTED_VALUE"""),"Fruit du dragon")</f>
        <v>Fruit du dragon</v>
      </c>
      <c r="H281" s="8" t="str">
        <f>IFERROR(__xludf.DUMMYFUNCTION("""COMPUTED_VALUE"""),"Dragon Fruit")</f>
        <v>Dragon Fruit</v>
      </c>
      <c r="I281" s="8" t="str">
        <f>IFERROR(__xludf.DUMMYFUNCTION("""COMPUTED_VALUE"""),"D10")</f>
        <v>D10</v>
      </c>
      <c r="J281" s="8"/>
      <c r="K281" s="8"/>
      <c r="L281" s="8" t="str">
        <f>IFERROR(__xludf.DUMMYFUNCTION("""COMPUTED_VALUE"""),"multiple")</f>
        <v>multiple</v>
      </c>
      <c r="M281" s="8">
        <f>IFERROR(__xludf.DUMMYFUNCTION("""COMPUTED_VALUE"""),6.0)</f>
        <v>6</v>
      </c>
      <c r="N281" s="8">
        <f>IFERROR(__xludf.DUMMYFUNCTION("""COMPUTED_VALUE"""),6.0)</f>
        <v>6</v>
      </c>
      <c r="O281" s="8"/>
      <c r="P281" s="8"/>
      <c r="Q281" s="8"/>
      <c r="R281" s="8"/>
      <c r="S281" s="8"/>
      <c r="T281" s="8"/>
      <c r="U281" s="8"/>
      <c r="V281" s="8"/>
      <c r="W281" s="8"/>
      <c r="X281" s="8"/>
      <c r="Y281" s="8"/>
      <c r="Z281" s="8"/>
    </row>
    <row r="282">
      <c r="A282" s="8">
        <f>IFERROR(__xludf.DUMMYFUNCTION("""COMPUTED_VALUE"""),613.0)</f>
        <v>613</v>
      </c>
      <c r="B282" s="8" t="str">
        <f>IFERROR(__xludf.DUMMYFUNCTION("""COMPUTED_VALUE"""),"tree")</f>
        <v>tree</v>
      </c>
      <c r="C282" s="8" t="str">
        <f>IFERROR(__xludf.DUMMYFUNCTION("""COMPUTED_VALUE"""),"graft")</f>
        <v>graft</v>
      </c>
      <c r="D282" s="55" t="str">
        <f>IFERROR(__xludf.DUMMYFUNCTION("""COMPUTED_VALUE"""),"Pouteria campechiana")</f>
        <v>Pouteria campechiana</v>
      </c>
      <c r="E282" s="8" t="str">
        <f>IFERROR(__xludf.DUMMYFUNCTION("""COMPUTED_VALUE"""),"Seedling")</f>
        <v>Seedling</v>
      </c>
      <c r="F282" s="8" t="str">
        <f>IFERROR(__xludf.DUMMYFUNCTION("""COMPUTED_VALUE"""),"Canistel")</f>
        <v>Canistel</v>
      </c>
      <c r="G282" s="8" t="str">
        <f>IFERROR(__xludf.DUMMYFUNCTION("""COMPUTED_VALUE"""),"Canistel")</f>
        <v>Canistel</v>
      </c>
      <c r="H282" s="8" t="str">
        <f>IFERROR(__xludf.DUMMYFUNCTION("""COMPUTED_VALUE"""),"seed")</f>
        <v>seed</v>
      </c>
      <c r="I282" s="8" t="str">
        <f>IFERROR(__xludf.DUMMYFUNCTION("""COMPUTED_VALUE"""),"031")</f>
        <v>031</v>
      </c>
      <c r="J282" s="8"/>
      <c r="K282" s="8"/>
      <c r="L282" s="8" t="str">
        <f>IFERROR(__xludf.DUMMYFUNCTION("""COMPUTED_VALUE"""),"multiple")</f>
        <v>multiple</v>
      </c>
      <c r="M282" s="8">
        <f>IFERROR(__xludf.DUMMYFUNCTION("""COMPUTED_VALUE"""),4.0)</f>
        <v>4</v>
      </c>
      <c r="N282" s="8">
        <f>IFERROR(__xludf.DUMMYFUNCTION("""COMPUTED_VALUE"""),8.0)</f>
        <v>8</v>
      </c>
      <c r="O282" s="8"/>
      <c r="P282" s="8"/>
      <c r="Q282" s="8"/>
      <c r="R282" s="8"/>
      <c r="S282" s="8"/>
      <c r="T282" s="8"/>
      <c r="U282" s="8"/>
      <c r="V282" s="8"/>
      <c r="W282" s="8"/>
      <c r="X282" s="8"/>
      <c r="Y282" s="8"/>
      <c r="Z282" s="8"/>
    </row>
    <row r="283">
      <c r="A283" s="8">
        <f>IFERROR(__xludf.DUMMYFUNCTION("""COMPUTED_VALUE"""),614.0)</f>
        <v>614</v>
      </c>
      <c r="B283" s="8" t="str">
        <f>IFERROR(__xludf.DUMMYFUNCTION("""COMPUTED_VALUE"""),"tree")</f>
        <v>tree</v>
      </c>
      <c r="C283" s="8" t="str">
        <f>IFERROR(__xludf.DUMMYFUNCTION("""COMPUTED_VALUE"""),"graft")</f>
        <v>graft</v>
      </c>
      <c r="D283" s="55" t="str">
        <f>IFERROR(__xludf.DUMMYFUNCTION("""COMPUTED_VALUE"""),"Pouteria campechiana")</f>
        <v>Pouteria campechiana</v>
      </c>
      <c r="E283" s="8" t="str">
        <f>IFERROR(__xludf.DUMMYFUNCTION("""COMPUTED_VALUE"""),"Seedling")</f>
        <v>Seedling</v>
      </c>
      <c r="F283" s="8" t="str">
        <f>IFERROR(__xludf.DUMMYFUNCTION("""COMPUTED_VALUE"""),"Canistel")</f>
        <v>Canistel</v>
      </c>
      <c r="G283" s="8" t="str">
        <f>IFERROR(__xludf.DUMMYFUNCTION("""COMPUTED_VALUE"""),"Canistel")</f>
        <v>Canistel</v>
      </c>
      <c r="H283" s="8" t="str">
        <f>IFERROR(__xludf.DUMMYFUNCTION("""COMPUTED_VALUE"""),"seed")</f>
        <v>seed</v>
      </c>
      <c r="I283" s="8" t="str">
        <f>IFERROR(__xludf.DUMMYFUNCTION("""COMPUTED_VALUE"""),"035")</f>
        <v>035</v>
      </c>
      <c r="J283" s="8"/>
      <c r="K283" s="8"/>
      <c r="L283" s="8" t="str">
        <f>IFERROR(__xludf.DUMMYFUNCTION("""COMPUTED_VALUE"""),"multiple")</f>
        <v>multiple</v>
      </c>
      <c r="M283" s="8">
        <f>IFERROR(__xludf.DUMMYFUNCTION("""COMPUTED_VALUE"""),4.0)</f>
        <v>4</v>
      </c>
      <c r="N283" s="8">
        <f>IFERROR(__xludf.DUMMYFUNCTION("""COMPUTED_VALUE"""),8.0)</f>
        <v>8</v>
      </c>
      <c r="O283" s="8"/>
      <c r="P283" s="8"/>
      <c r="Q283" s="8"/>
      <c r="R283" s="8"/>
      <c r="S283" s="8"/>
      <c r="T283" s="8"/>
      <c r="U283" s="8"/>
      <c r="V283" s="8"/>
      <c r="W283" s="8"/>
      <c r="X283" s="8"/>
      <c r="Y283" s="8"/>
      <c r="Z283" s="8"/>
    </row>
    <row r="284">
      <c r="A284" s="8">
        <f>IFERROR(__xludf.DUMMYFUNCTION("""COMPUTED_VALUE"""),615.0)</f>
        <v>615</v>
      </c>
      <c r="B284" s="8" t="str">
        <f>IFERROR(__xludf.DUMMYFUNCTION("""COMPUTED_VALUE"""),"perennial")</f>
        <v>perennial</v>
      </c>
      <c r="C284" s="8" t="str">
        <f>IFERROR(__xludf.DUMMYFUNCTION("""COMPUTED_VALUE"""),"cutting")</f>
        <v>cutting</v>
      </c>
      <c r="D284" s="55" t="str">
        <f>IFERROR(__xludf.DUMMYFUNCTION("""COMPUTED_VALUE"""),"Hylocereus polyrhizus")</f>
        <v>Hylocereus polyrhizus</v>
      </c>
      <c r="E284" s="8" t="str">
        <f>IFERROR(__xludf.DUMMYFUNCTION("""COMPUTED_VALUE"""),"Haley's Comet")</f>
        <v>Haley's Comet</v>
      </c>
      <c r="F284" s="8" t="str">
        <f>IFERROR(__xludf.DUMMYFUNCTION("""COMPUTED_VALUE"""),"Dragon Fruit")</f>
        <v>Dragon Fruit</v>
      </c>
      <c r="G284" s="8" t="str">
        <f>IFERROR(__xludf.DUMMYFUNCTION("""COMPUTED_VALUE"""),"Fruit du dragon")</f>
        <v>Fruit du dragon</v>
      </c>
      <c r="H284" s="8" t="str">
        <f>IFERROR(__xludf.DUMMYFUNCTION("""COMPUTED_VALUE"""),"Dragon Fruit")</f>
        <v>Dragon Fruit</v>
      </c>
      <c r="I284" s="8" t="str">
        <f>IFERROR(__xludf.DUMMYFUNCTION("""COMPUTED_VALUE"""),"D01")</f>
        <v>D01</v>
      </c>
      <c r="J284" s="8"/>
      <c r="K284" s="8"/>
      <c r="L284" s="8" t="str">
        <f>IFERROR(__xludf.DUMMYFUNCTION("""COMPUTED_VALUE"""),"multiple")</f>
        <v>multiple</v>
      </c>
      <c r="M284" s="8">
        <f>IFERROR(__xludf.DUMMYFUNCTION("""COMPUTED_VALUE"""),6.0)</f>
        <v>6</v>
      </c>
      <c r="N284" s="8">
        <f>IFERROR(__xludf.DUMMYFUNCTION("""COMPUTED_VALUE"""),6.0)</f>
        <v>6</v>
      </c>
      <c r="O284" s="8"/>
      <c r="P284" s="8"/>
      <c r="Q284" s="8"/>
      <c r="R284" s="8"/>
      <c r="S284" s="8"/>
      <c r="T284" s="8"/>
      <c r="U284" s="8"/>
      <c r="V284" s="8"/>
      <c r="W284" s="8"/>
      <c r="X284" s="8"/>
      <c r="Y284" s="8"/>
      <c r="Z284" s="8"/>
    </row>
    <row r="285">
      <c r="A285" s="8">
        <f>IFERROR(__xludf.DUMMYFUNCTION("""COMPUTED_VALUE"""),616.0)</f>
        <v>616</v>
      </c>
      <c r="B285" s="8" t="str">
        <f>IFERROR(__xludf.DUMMYFUNCTION("""COMPUTED_VALUE"""),"tree")</f>
        <v>tree</v>
      </c>
      <c r="C285" s="8" t="str">
        <f>IFERROR(__xludf.DUMMYFUNCTION("""COMPUTED_VALUE"""),"graft")</f>
        <v>graft</v>
      </c>
      <c r="D285" s="55" t="str">
        <f>IFERROR(__xludf.DUMMYFUNCTION("""COMPUTED_VALUE"""),"Persea americana")</f>
        <v>Persea americana</v>
      </c>
      <c r="E285" s="8" t="str">
        <f>IFERROR(__xludf.DUMMYFUNCTION("""COMPUTED_VALUE"""),"Bacon")</f>
        <v>Bacon</v>
      </c>
      <c r="F285" s="8" t="str">
        <f>IFERROR(__xludf.DUMMYFUNCTION("""COMPUTED_VALUE"""),"Avocado")</f>
        <v>Avocado</v>
      </c>
      <c r="G285" s="8" t="str">
        <f>IFERROR(__xludf.DUMMYFUNCTION("""COMPUTED_VALUE"""),"Avocat")</f>
        <v>Avocat</v>
      </c>
      <c r="H285" s="8" t="str">
        <f>IFERROR(__xludf.DUMMYFUNCTION("""COMPUTED_VALUE"""),"Avocado")</f>
        <v>Avocado</v>
      </c>
      <c r="I285" s="8"/>
      <c r="J285" s="8"/>
      <c r="K285" s="8"/>
      <c r="L285" s="8">
        <f>IFERROR(__xludf.DUMMYFUNCTION("""COMPUTED_VALUE"""),1.0)</f>
        <v>1</v>
      </c>
      <c r="M285" s="8">
        <f>IFERROR(__xludf.DUMMYFUNCTION("""COMPUTED_VALUE"""),0.0)</f>
        <v>0</v>
      </c>
      <c r="N285" s="8">
        <f>IFERROR(__xludf.DUMMYFUNCTION("""COMPUTED_VALUE"""),0.0)</f>
        <v>0</v>
      </c>
      <c r="O285" s="8"/>
      <c r="P285" s="8"/>
      <c r="Q285" s="8"/>
      <c r="R285" s="8"/>
      <c r="S285" s="8"/>
      <c r="T285" s="8"/>
      <c r="U285" s="8"/>
      <c r="V285" s="8"/>
      <c r="W285" s="8"/>
      <c r="X285" s="8"/>
      <c r="Y285" s="8"/>
      <c r="Z285" s="8"/>
    </row>
    <row r="286">
      <c r="A286" s="8">
        <f>IFERROR(__xludf.DUMMYFUNCTION("""COMPUTED_VALUE"""),617.0)</f>
        <v>617</v>
      </c>
      <c r="B286" s="8" t="str">
        <f>IFERROR(__xludf.DUMMYFUNCTION("""COMPUTED_VALUE"""),"perennial")</f>
        <v>perennial</v>
      </c>
      <c r="C286" s="8" t="str">
        <f>IFERROR(__xludf.DUMMYFUNCTION("""COMPUTED_VALUE"""),"cutting")</f>
        <v>cutting</v>
      </c>
      <c r="D286" s="55" t="str">
        <f>IFERROR(__xludf.DUMMYFUNCTION("""COMPUTED_VALUE"""),"Hylocereus polyrhizus")</f>
        <v>Hylocereus polyrhizus</v>
      </c>
      <c r="E286" s="8" t="str">
        <f>IFERROR(__xludf.DUMMYFUNCTION("""COMPUTED_VALUE"""),"LaVerne")</f>
        <v>LaVerne</v>
      </c>
      <c r="F286" s="8" t="str">
        <f>IFERROR(__xludf.DUMMYFUNCTION("""COMPUTED_VALUE"""),"Dragon Fruit")</f>
        <v>Dragon Fruit</v>
      </c>
      <c r="G286" s="8" t="str">
        <f>IFERROR(__xludf.DUMMYFUNCTION("""COMPUTED_VALUE"""),"Fruit du dragon")</f>
        <v>Fruit du dragon</v>
      </c>
      <c r="H286" s="8" t="str">
        <f>IFERROR(__xludf.DUMMYFUNCTION("""COMPUTED_VALUE"""),"Dragon Fruit")</f>
        <v>Dragon Fruit</v>
      </c>
      <c r="I286" s="8" t="str">
        <f>IFERROR(__xludf.DUMMYFUNCTION("""COMPUTED_VALUE"""),"D19")</f>
        <v>D19</v>
      </c>
      <c r="J286" s="8"/>
      <c r="K286" s="8"/>
      <c r="L286" s="8" t="str">
        <f>IFERROR(__xludf.DUMMYFUNCTION("""COMPUTED_VALUE"""),"multiple")</f>
        <v>multiple</v>
      </c>
      <c r="M286" s="8">
        <f>IFERROR(__xludf.DUMMYFUNCTION("""COMPUTED_VALUE"""),7.0)</f>
        <v>7</v>
      </c>
      <c r="N286" s="8">
        <f>IFERROR(__xludf.DUMMYFUNCTION("""COMPUTED_VALUE"""),7.0)</f>
        <v>7</v>
      </c>
      <c r="O286" s="8"/>
      <c r="P286" s="8"/>
      <c r="Q286" s="8"/>
      <c r="R286" s="8"/>
      <c r="S286" s="8"/>
      <c r="T286" s="8"/>
      <c r="U286" s="8"/>
      <c r="V286" s="8"/>
      <c r="W286" s="8"/>
      <c r="X286" s="8"/>
      <c r="Y286" s="8"/>
      <c r="Z286" s="8"/>
    </row>
    <row r="287">
      <c r="A287" s="8">
        <f>IFERROR(__xludf.DUMMYFUNCTION("""COMPUTED_VALUE"""),618.0)</f>
        <v>618</v>
      </c>
      <c r="B287" s="8" t="str">
        <f>IFERROR(__xludf.DUMMYFUNCTION("""COMPUTED_VALUE"""),"perennial")</f>
        <v>perennial</v>
      </c>
      <c r="C287" s="8" t="str">
        <f>IFERROR(__xludf.DUMMYFUNCTION("""COMPUTED_VALUE"""),"cutting")</f>
        <v>cutting</v>
      </c>
      <c r="D287" s="55" t="str">
        <f>IFERROR(__xludf.DUMMYFUNCTION("""COMPUTED_VALUE"""),"Hylocereus polyrhizus")</f>
        <v>Hylocereus polyrhizus</v>
      </c>
      <c r="E287" s="8" t="str">
        <f>IFERROR(__xludf.DUMMYFUNCTION("""COMPUTED_VALUE"""),"Lisa")</f>
        <v>Lisa</v>
      </c>
      <c r="F287" s="8" t="str">
        <f>IFERROR(__xludf.DUMMYFUNCTION("""COMPUTED_VALUE"""),"Dragon Fruit")</f>
        <v>Dragon Fruit</v>
      </c>
      <c r="G287" s="8" t="str">
        <f>IFERROR(__xludf.DUMMYFUNCTION("""COMPUTED_VALUE"""),"Fruit du dragon")</f>
        <v>Fruit du dragon</v>
      </c>
      <c r="H287" s="8" t="str">
        <f>IFERROR(__xludf.DUMMYFUNCTION("""COMPUTED_VALUE"""),"Dragon Fruit")</f>
        <v>Dragon Fruit</v>
      </c>
      <c r="I287" s="8" t="str">
        <f>IFERROR(__xludf.DUMMYFUNCTION("""COMPUTED_VALUE"""),"D04")</f>
        <v>D04</v>
      </c>
      <c r="J287" s="8"/>
      <c r="K287" s="8"/>
      <c r="L287" s="8" t="str">
        <f>IFERROR(__xludf.DUMMYFUNCTION("""COMPUTED_VALUE"""),"multiple")</f>
        <v>multiple</v>
      </c>
      <c r="M287" s="8">
        <f>IFERROR(__xludf.DUMMYFUNCTION("""COMPUTED_VALUE"""),7.0)</f>
        <v>7</v>
      </c>
      <c r="N287" s="8">
        <f>IFERROR(__xludf.DUMMYFUNCTION("""COMPUTED_VALUE"""),7.0)</f>
        <v>7</v>
      </c>
      <c r="O287" s="8"/>
      <c r="P287" s="8"/>
      <c r="Q287" s="8"/>
      <c r="R287" s="8"/>
      <c r="S287" s="8"/>
      <c r="T287" s="8"/>
      <c r="U287" s="8"/>
      <c r="V287" s="8"/>
      <c r="W287" s="8"/>
      <c r="X287" s="8"/>
      <c r="Y287" s="8"/>
      <c r="Z287" s="8"/>
    </row>
    <row r="288">
      <c r="A288" s="8">
        <f>IFERROR(__xludf.DUMMYFUNCTION("""COMPUTED_VALUE"""),619.0)</f>
        <v>619</v>
      </c>
      <c r="B288" s="8" t="str">
        <f>IFERROR(__xludf.DUMMYFUNCTION("""COMPUTED_VALUE"""),"tree")</f>
        <v>tree</v>
      </c>
      <c r="C288" s="8" t="str">
        <f>IFERROR(__xludf.DUMMYFUNCTION("""COMPUTED_VALUE"""),"graft")</f>
        <v>graft</v>
      </c>
      <c r="D288" s="55" t="str">
        <f>IFERROR(__xludf.DUMMYFUNCTION("""COMPUTED_VALUE"""),"Pouteria campechiana")</f>
        <v>Pouteria campechiana</v>
      </c>
      <c r="E288" s="8" t="str">
        <f>IFERROR(__xludf.DUMMYFUNCTION("""COMPUTED_VALUE"""),"Seedling")</f>
        <v>Seedling</v>
      </c>
      <c r="F288" s="8" t="str">
        <f>IFERROR(__xludf.DUMMYFUNCTION("""COMPUTED_VALUE"""),"Canistel")</f>
        <v>Canistel</v>
      </c>
      <c r="G288" s="8" t="str">
        <f>IFERROR(__xludf.DUMMYFUNCTION("""COMPUTED_VALUE"""),"Canistel")</f>
        <v>Canistel</v>
      </c>
      <c r="H288" s="8" t="str">
        <f>IFERROR(__xludf.DUMMYFUNCTION("""COMPUTED_VALUE"""),"seed")</f>
        <v>seed</v>
      </c>
      <c r="I288" s="8" t="str">
        <f>IFERROR(__xludf.DUMMYFUNCTION("""COMPUTED_VALUE"""),"132A")</f>
        <v>132A</v>
      </c>
      <c r="J288" s="8"/>
      <c r="K288" s="8"/>
      <c r="L288" s="8" t="str">
        <f>IFERROR(__xludf.DUMMYFUNCTION("""COMPUTED_VALUE"""),"multiple")</f>
        <v>multiple</v>
      </c>
      <c r="M288" s="8">
        <f>IFERROR(__xludf.DUMMYFUNCTION("""COMPUTED_VALUE"""),4.0)</f>
        <v>4</v>
      </c>
      <c r="N288" s="8">
        <f>IFERROR(__xludf.DUMMYFUNCTION("""COMPUTED_VALUE"""),8.0)</f>
        <v>8</v>
      </c>
      <c r="O288" s="8"/>
      <c r="P288" s="8"/>
      <c r="Q288" s="8"/>
      <c r="R288" s="8"/>
      <c r="S288" s="8"/>
      <c r="T288" s="8"/>
      <c r="U288" s="8"/>
      <c r="V288" s="8"/>
      <c r="W288" s="8"/>
      <c r="X288" s="8"/>
      <c r="Y288" s="8"/>
      <c r="Z288" s="8"/>
    </row>
    <row r="289">
      <c r="A289" s="8">
        <f>IFERROR(__xludf.DUMMYFUNCTION("""COMPUTED_VALUE"""),620.0)</f>
        <v>620</v>
      </c>
      <c r="B289" s="8" t="str">
        <f>IFERROR(__xludf.DUMMYFUNCTION("""COMPUTED_VALUE"""),"tree")</f>
        <v>tree</v>
      </c>
      <c r="C289" s="8" t="str">
        <f>IFERROR(__xludf.DUMMYFUNCTION("""COMPUTED_VALUE"""),"graft")</f>
        <v>graft</v>
      </c>
      <c r="D289" s="55" t="str">
        <f>IFERROR(__xludf.DUMMYFUNCTION("""COMPUTED_VALUE"""),"Persea americana")</f>
        <v>Persea americana</v>
      </c>
      <c r="E289" s="8" t="str">
        <f>IFERROR(__xludf.DUMMYFUNCTION("""COMPUTED_VALUE"""),"Loretta")</f>
        <v>Loretta</v>
      </c>
      <c r="F289" s="8" t="str">
        <f>IFERROR(__xludf.DUMMYFUNCTION("""COMPUTED_VALUE"""),"Avocado")</f>
        <v>Avocado</v>
      </c>
      <c r="G289" s="8" t="str">
        <f>IFERROR(__xludf.DUMMYFUNCTION("""COMPUTED_VALUE"""),"Avocat")</f>
        <v>Avocat</v>
      </c>
      <c r="H289" s="8" t="str">
        <f>IFERROR(__xludf.DUMMYFUNCTION("""COMPUTED_VALUE"""),"Avocado")</f>
        <v>Avocado</v>
      </c>
      <c r="I289" s="8" t="str">
        <f>IFERROR(__xludf.DUMMYFUNCTION("""COMPUTED_VALUE"""),"174")</f>
        <v>174</v>
      </c>
      <c r="J289" s="8"/>
      <c r="K289" s="8"/>
      <c r="L289" s="8">
        <f>IFERROR(__xludf.DUMMYFUNCTION("""COMPUTED_VALUE"""),1.0)</f>
        <v>1</v>
      </c>
      <c r="M289" s="8">
        <f>IFERROR(__xludf.DUMMYFUNCTION("""COMPUTED_VALUE"""),1.0)</f>
        <v>1</v>
      </c>
      <c r="N289" s="8">
        <f>IFERROR(__xludf.DUMMYFUNCTION("""COMPUTED_VALUE"""),1.0)</f>
        <v>1</v>
      </c>
      <c r="O289" s="8"/>
      <c r="P289" s="8"/>
      <c r="Q289" s="8"/>
      <c r="R289" s="8"/>
      <c r="S289" s="8"/>
      <c r="T289" s="8"/>
      <c r="U289" s="8"/>
      <c r="V289" s="8"/>
      <c r="W289" s="8"/>
      <c r="X289" s="8"/>
      <c r="Y289" s="8"/>
      <c r="Z289" s="8"/>
    </row>
    <row r="290">
      <c r="A290" s="8">
        <f>IFERROR(__xludf.DUMMYFUNCTION("""COMPUTED_VALUE"""),621.0)</f>
        <v>621</v>
      </c>
      <c r="B290" s="8" t="str">
        <f>IFERROR(__xludf.DUMMYFUNCTION("""COMPUTED_VALUE"""),"tree")</f>
        <v>tree</v>
      </c>
      <c r="C290" s="8" t="str">
        <f>IFERROR(__xludf.DUMMYFUNCTION("""COMPUTED_VALUE"""),"graft")</f>
        <v>graft</v>
      </c>
      <c r="D290" s="55" t="str">
        <f>IFERROR(__xludf.DUMMYFUNCTION("""COMPUTED_VALUE"""),"Diospyros nigra")</f>
        <v>Diospyros nigra</v>
      </c>
      <c r="E290" s="8" t="str">
        <f>IFERROR(__xludf.DUMMYFUNCTION("""COMPUTED_VALUE"""),"Wilson")</f>
        <v>Wilson</v>
      </c>
      <c r="F290" s="8" t="str">
        <f>IFERROR(__xludf.DUMMYFUNCTION("""COMPUTED_VALUE"""),"Black Sapote")</f>
        <v>Black Sapote</v>
      </c>
      <c r="G290" s="8" t="str">
        <f>IFERROR(__xludf.DUMMYFUNCTION("""COMPUTED_VALUE"""),"Sapote noire")</f>
        <v>Sapote noire</v>
      </c>
      <c r="H290" s="8" t="str">
        <f>IFERROR(__xludf.DUMMYFUNCTION("""COMPUTED_VALUE"""),"Black Sapote")</f>
        <v>Black Sapote</v>
      </c>
      <c r="I290" s="8" t="str">
        <f>IFERROR(__xludf.DUMMYFUNCTION("""COMPUTED_VALUE"""),"168")</f>
        <v>168</v>
      </c>
      <c r="J290" s="8"/>
      <c r="K290" s="8"/>
      <c r="L290" s="8" t="str">
        <f>IFERROR(__xludf.DUMMYFUNCTION("""COMPUTED_VALUE"""),"multiple")</f>
        <v>multiple</v>
      </c>
      <c r="M290" s="8">
        <f>IFERROR(__xludf.DUMMYFUNCTION("""COMPUTED_VALUE"""),2.0)</f>
        <v>2</v>
      </c>
      <c r="N290" s="8">
        <f>IFERROR(__xludf.DUMMYFUNCTION("""COMPUTED_VALUE"""),2.0)</f>
        <v>2</v>
      </c>
      <c r="O290" s="8"/>
      <c r="P290" s="8"/>
      <c r="Q290" s="8"/>
      <c r="R290" s="8"/>
      <c r="S290" s="8"/>
      <c r="T290" s="8"/>
      <c r="U290" s="8"/>
      <c r="V290" s="8"/>
      <c r="W290" s="8"/>
      <c r="X290" s="8"/>
      <c r="Y290" s="8"/>
      <c r="Z290" s="8"/>
    </row>
    <row r="291">
      <c r="A291" s="8">
        <f>IFERROR(__xludf.DUMMYFUNCTION("""COMPUTED_VALUE"""),622.0)</f>
        <v>622</v>
      </c>
      <c r="B291" s="8" t="str">
        <f>IFERROR(__xludf.DUMMYFUNCTION("""COMPUTED_VALUE"""),"tree")</f>
        <v>tree</v>
      </c>
      <c r="C291" s="8" t="str">
        <f>IFERROR(__xludf.DUMMYFUNCTION("""COMPUTED_VALUE"""),"graft")</f>
        <v>graft</v>
      </c>
      <c r="D291" s="55" t="str">
        <f>IFERROR(__xludf.DUMMYFUNCTION("""COMPUTED_VALUE"""),"Diospyros nigra")</f>
        <v>Diospyros nigra</v>
      </c>
      <c r="E291" s="8" t="str">
        <f>IFERROR(__xludf.DUMMYFUNCTION("""COMPUTED_VALUE"""),"Wilson")</f>
        <v>Wilson</v>
      </c>
      <c r="F291" s="8" t="str">
        <f>IFERROR(__xludf.DUMMYFUNCTION("""COMPUTED_VALUE"""),"Black Sapote")</f>
        <v>Black Sapote</v>
      </c>
      <c r="G291" s="8" t="str">
        <f>IFERROR(__xludf.DUMMYFUNCTION("""COMPUTED_VALUE"""),"Sapote noire")</f>
        <v>Sapote noire</v>
      </c>
      <c r="H291" s="8" t="str">
        <f>IFERROR(__xludf.DUMMYFUNCTION("""COMPUTED_VALUE"""),"Black Sapote")</f>
        <v>Black Sapote</v>
      </c>
      <c r="I291" s="8" t="str">
        <f>IFERROR(__xludf.DUMMYFUNCTION("""COMPUTED_VALUE"""),"126")</f>
        <v>126</v>
      </c>
      <c r="J291" s="8"/>
      <c r="K291" s="8"/>
      <c r="L291" s="8" t="str">
        <f>IFERROR(__xludf.DUMMYFUNCTION("""COMPUTED_VALUE"""),"multiple")</f>
        <v>multiple</v>
      </c>
      <c r="M291" s="8">
        <f>IFERROR(__xludf.DUMMYFUNCTION("""COMPUTED_VALUE"""),2.0)</f>
        <v>2</v>
      </c>
      <c r="N291" s="8">
        <f>IFERROR(__xludf.DUMMYFUNCTION("""COMPUTED_VALUE"""),2.0)</f>
        <v>2</v>
      </c>
      <c r="O291" s="8"/>
      <c r="P291" s="8"/>
      <c r="Q291" s="8"/>
      <c r="R291" s="8"/>
      <c r="S291" s="8"/>
      <c r="T291" s="8"/>
      <c r="U291" s="8"/>
      <c r="V291" s="8"/>
      <c r="W291" s="8"/>
      <c r="X291" s="8"/>
      <c r="Y291" s="8"/>
      <c r="Z291" s="8"/>
    </row>
    <row r="292">
      <c r="A292" s="8">
        <f>IFERROR(__xludf.DUMMYFUNCTION("""COMPUTED_VALUE"""),623.0)</f>
        <v>623</v>
      </c>
      <c r="B292" s="8" t="str">
        <f>IFERROR(__xludf.DUMMYFUNCTION("""COMPUTED_VALUE"""),"tree")</f>
        <v>tree</v>
      </c>
      <c r="C292" s="8" t="str">
        <f>IFERROR(__xludf.DUMMYFUNCTION("""COMPUTED_VALUE"""),"graft")</f>
        <v>graft</v>
      </c>
      <c r="D292" s="55" t="str">
        <f>IFERROR(__xludf.DUMMYFUNCTION("""COMPUTED_VALUE"""),"Diospyros nigra")</f>
        <v>Diospyros nigra</v>
      </c>
      <c r="E292" s="8" t="str">
        <f>IFERROR(__xludf.DUMMYFUNCTION("""COMPUTED_VALUE"""),"Alargado")</f>
        <v>Alargado</v>
      </c>
      <c r="F292" s="8" t="str">
        <f>IFERROR(__xludf.DUMMYFUNCTION("""COMPUTED_VALUE"""),"Black Sapote")</f>
        <v>Black Sapote</v>
      </c>
      <c r="G292" s="8" t="str">
        <f>IFERROR(__xludf.DUMMYFUNCTION("""COMPUTED_VALUE"""),"Sapote noire")</f>
        <v>Sapote noire</v>
      </c>
      <c r="H292" s="8" t="str">
        <f>IFERROR(__xludf.DUMMYFUNCTION("""COMPUTED_VALUE"""),"Black Sapote")</f>
        <v>Black Sapote</v>
      </c>
      <c r="I292" s="8" t="str">
        <f>IFERROR(__xludf.DUMMYFUNCTION("""COMPUTED_VALUE"""),"147")</f>
        <v>147</v>
      </c>
      <c r="J292" s="8"/>
      <c r="K292" s="8"/>
      <c r="L292" s="8" t="str">
        <f>IFERROR(__xludf.DUMMYFUNCTION("""COMPUTED_VALUE"""),"multiple")</f>
        <v>multiple</v>
      </c>
      <c r="M292" s="8">
        <f>IFERROR(__xludf.DUMMYFUNCTION("""COMPUTED_VALUE"""),1.0)</f>
        <v>1</v>
      </c>
      <c r="N292" s="8">
        <f>IFERROR(__xludf.DUMMYFUNCTION("""COMPUTED_VALUE"""),1.0)</f>
        <v>1</v>
      </c>
      <c r="O292" s="8"/>
      <c r="P292" s="8"/>
      <c r="Q292" s="8"/>
      <c r="R292" s="8"/>
      <c r="S292" s="8"/>
      <c r="T292" s="8"/>
      <c r="U292" s="8"/>
      <c r="V292" s="8"/>
      <c r="W292" s="8"/>
      <c r="X292" s="8"/>
      <c r="Y292" s="8"/>
      <c r="Z292" s="8"/>
    </row>
    <row r="293">
      <c r="A293" s="8">
        <f>IFERROR(__xludf.DUMMYFUNCTION("""COMPUTED_VALUE"""),624.0)</f>
        <v>624</v>
      </c>
      <c r="B293" s="8" t="str">
        <f>IFERROR(__xludf.DUMMYFUNCTION("""COMPUTED_VALUE"""),"tree")</f>
        <v>tree</v>
      </c>
      <c r="C293" s="8" t="str">
        <f>IFERROR(__xludf.DUMMYFUNCTION("""COMPUTED_VALUE"""),"graft")</f>
        <v>graft</v>
      </c>
      <c r="D293" s="55" t="str">
        <f>IFERROR(__xludf.DUMMYFUNCTION("""COMPUTED_VALUE"""),"Diospyros nigra")</f>
        <v>Diospyros nigra</v>
      </c>
      <c r="E293" s="8" t="str">
        <f>IFERROR(__xludf.DUMMYFUNCTION("""COMPUTED_VALUE"""),"Bernecker")</f>
        <v>Bernecker</v>
      </c>
      <c r="F293" s="8" t="str">
        <f>IFERROR(__xludf.DUMMYFUNCTION("""COMPUTED_VALUE"""),"Black Sapote")</f>
        <v>Black Sapote</v>
      </c>
      <c r="G293" s="8" t="str">
        <f>IFERROR(__xludf.DUMMYFUNCTION("""COMPUTED_VALUE"""),"Sapote noire")</f>
        <v>Sapote noire</v>
      </c>
      <c r="H293" s="8" t="str">
        <f>IFERROR(__xludf.DUMMYFUNCTION("""COMPUTED_VALUE"""),"Black Sapote")</f>
        <v>Black Sapote</v>
      </c>
      <c r="I293" s="8" t="str">
        <f>IFERROR(__xludf.DUMMYFUNCTION("""COMPUTED_VALUE"""),"100")</f>
        <v>100</v>
      </c>
      <c r="J293" s="8"/>
      <c r="K293" s="8"/>
      <c r="L293" s="8" t="str">
        <f>IFERROR(__xludf.DUMMYFUNCTION("""COMPUTED_VALUE"""),"multiple")</f>
        <v>multiple</v>
      </c>
      <c r="M293" s="8">
        <f>IFERROR(__xludf.DUMMYFUNCTION("""COMPUTED_VALUE"""),1.0)</f>
        <v>1</v>
      </c>
      <c r="N293" s="8">
        <f>IFERROR(__xludf.DUMMYFUNCTION("""COMPUTED_VALUE"""),2.0)</f>
        <v>2</v>
      </c>
      <c r="O293" s="8"/>
      <c r="P293" s="8"/>
      <c r="Q293" s="8"/>
      <c r="R293" s="8"/>
      <c r="S293" s="8"/>
      <c r="T293" s="8"/>
      <c r="U293" s="8"/>
      <c r="V293" s="8"/>
      <c r="W293" s="8"/>
      <c r="X293" s="8"/>
      <c r="Y293" s="8"/>
      <c r="Z293" s="8"/>
    </row>
    <row r="294">
      <c r="A294" s="8">
        <f>IFERROR(__xludf.DUMMYFUNCTION("""COMPUTED_VALUE"""),625.0)</f>
        <v>625</v>
      </c>
      <c r="B294" s="8" t="str">
        <f>IFERROR(__xludf.DUMMYFUNCTION("""COMPUTED_VALUE"""),"tree")</f>
        <v>tree</v>
      </c>
      <c r="C294" s="8" t="str">
        <f>IFERROR(__xludf.DUMMYFUNCTION("""COMPUTED_VALUE"""),"graft")</f>
        <v>graft</v>
      </c>
      <c r="D294" s="55" t="str">
        <f>IFERROR(__xludf.DUMMYFUNCTION("""COMPUTED_VALUE"""),"Diospyros nigra")</f>
        <v>Diospyros nigra</v>
      </c>
      <c r="E294" s="8" t="str">
        <f>IFERROR(__xludf.DUMMYFUNCTION("""COMPUTED_VALUE"""),"Bernecker")</f>
        <v>Bernecker</v>
      </c>
      <c r="F294" s="8" t="str">
        <f>IFERROR(__xludf.DUMMYFUNCTION("""COMPUTED_VALUE"""),"Black Sapote")</f>
        <v>Black Sapote</v>
      </c>
      <c r="G294" s="8" t="str">
        <f>IFERROR(__xludf.DUMMYFUNCTION("""COMPUTED_VALUE"""),"Sapote noire")</f>
        <v>Sapote noire</v>
      </c>
      <c r="H294" s="8" t="str">
        <f>IFERROR(__xludf.DUMMYFUNCTION("""COMPUTED_VALUE"""),"Black Sapote")</f>
        <v>Black Sapote</v>
      </c>
      <c r="I294" s="8"/>
      <c r="J294" s="8"/>
      <c r="K294" s="8"/>
      <c r="L294" s="8" t="str">
        <f>IFERROR(__xludf.DUMMYFUNCTION("""COMPUTED_VALUE"""),"multiple")</f>
        <v>multiple</v>
      </c>
      <c r="M294" s="8">
        <f>IFERROR(__xludf.DUMMYFUNCTION("""COMPUTED_VALUE"""),1.0)</f>
        <v>1</v>
      </c>
      <c r="N294" s="8">
        <f>IFERROR(__xludf.DUMMYFUNCTION("""COMPUTED_VALUE"""),2.0)</f>
        <v>2</v>
      </c>
      <c r="O294" s="8"/>
      <c r="P294" s="8"/>
      <c r="Q294" s="8"/>
      <c r="R294" s="8"/>
      <c r="S294" s="8"/>
      <c r="T294" s="8"/>
      <c r="U294" s="8"/>
      <c r="V294" s="8"/>
      <c r="W294" s="8"/>
      <c r="X294" s="8"/>
      <c r="Y294" s="8"/>
      <c r="Z294" s="8"/>
    </row>
    <row r="295">
      <c r="A295" s="8">
        <f>IFERROR(__xludf.DUMMYFUNCTION("""COMPUTED_VALUE"""),626.0)</f>
        <v>626</v>
      </c>
      <c r="B295" s="8" t="str">
        <f>IFERROR(__xludf.DUMMYFUNCTION("""COMPUTED_VALUE"""),"tree")</f>
        <v>tree</v>
      </c>
      <c r="C295" s="8" t="str">
        <f>IFERROR(__xludf.DUMMYFUNCTION("""COMPUTED_VALUE"""),"graft")</f>
        <v>graft</v>
      </c>
      <c r="D295" s="55" t="str">
        <f>IFERROR(__xludf.DUMMYFUNCTION("""COMPUTED_VALUE"""),"Diospyros nigra")</f>
        <v>Diospyros nigra</v>
      </c>
      <c r="E295" s="8" t="str">
        <f>IFERROR(__xludf.DUMMYFUNCTION("""COMPUTED_VALUE"""),"Black Beauty")</f>
        <v>Black Beauty</v>
      </c>
      <c r="F295" s="8" t="str">
        <f>IFERROR(__xludf.DUMMYFUNCTION("""COMPUTED_VALUE"""),"Black Sapote")</f>
        <v>Black Sapote</v>
      </c>
      <c r="G295" s="8" t="str">
        <f>IFERROR(__xludf.DUMMYFUNCTION("""COMPUTED_VALUE"""),"Sapote noire")</f>
        <v>Sapote noire</v>
      </c>
      <c r="H295" s="8" t="str">
        <f>IFERROR(__xludf.DUMMYFUNCTION("""COMPUTED_VALUE"""),"Black Sapote")</f>
        <v>Black Sapote</v>
      </c>
      <c r="I295" s="8" t="str">
        <f>IFERROR(__xludf.DUMMYFUNCTION("""COMPUTED_VALUE"""),"145")</f>
        <v>145</v>
      </c>
      <c r="J295" s="8"/>
      <c r="K295" s="8"/>
      <c r="L295" s="8" t="str">
        <f>IFERROR(__xludf.DUMMYFUNCTION("""COMPUTED_VALUE"""),"multiple")</f>
        <v>multiple</v>
      </c>
      <c r="M295" s="8">
        <f>IFERROR(__xludf.DUMMYFUNCTION("""COMPUTED_VALUE"""),1.0)</f>
        <v>1</v>
      </c>
      <c r="N295" s="8">
        <f>IFERROR(__xludf.DUMMYFUNCTION("""COMPUTED_VALUE"""),1.0)</f>
        <v>1</v>
      </c>
      <c r="O295" s="8"/>
      <c r="P295" s="8"/>
      <c r="Q295" s="8"/>
      <c r="R295" s="8"/>
      <c r="S295" s="8"/>
      <c r="T295" s="8"/>
      <c r="U295" s="8"/>
      <c r="V295" s="8"/>
      <c r="W295" s="8"/>
      <c r="X295" s="8"/>
      <c r="Y295" s="8"/>
      <c r="Z295" s="8"/>
    </row>
    <row r="296">
      <c r="A296" s="8">
        <f>IFERROR(__xludf.DUMMYFUNCTION("""COMPUTED_VALUE"""),627.0)</f>
        <v>627</v>
      </c>
      <c r="B296" s="8" t="str">
        <f>IFERROR(__xludf.DUMMYFUNCTION("""COMPUTED_VALUE"""),"tree")</f>
        <v>tree</v>
      </c>
      <c r="C296" s="8" t="str">
        <f>IFERROR(__xludf.DUMMYFUNCTION("""COMPUTED_VALUE"""),"graft")</f>
        <v>graft</v>
      </c>
      <c r="D296" s="55" t="str">
        <f>IFERROR(__xludf.DUMMYFUNCTION("""COMPUTED_VALUE"""),"Pouteria campechiana")</f>
        <v>Pouteria campechiana</v>
      </c>
      <c r="E296" s="8" t="str">
        <f>IFERROR(__xludf.DUMMYFUNCTION("""COMPUTED_VALUE"""),"Ross")</f>
        <v>Ross</v>
      </c>
      <c r="F296" s="8" t="str">
        <f>IFERROR(__xludf.DUMMYFUNCTION("""COMPUTED_VALUE"""),"Canistel")</f>
        <v>Canistel</v>
      </c>
      <c r="G296" s="8" t="str">
        <f>IFERROR(__xludf.DUMMYFUNCTION("""COMPUTED_VALUE"""),"Canistel")</f>
        <v>Canistel</v>
      </c>
      <c r="H296" s="8" t="str">
        <f>IFERROR(__xludf.DUMMYFUNCTION("""COMPUTED_VALUE"""),"Canistel")</f>
        <v>Canistel</v>
      </c>
      <c r="I296" s="8" t="str">
        <f>IFERROR(__xludf.DUMMYFUNCTION("""COMPUTED_VALUE"""),"007")</f>
        <v>007</v>
      </c>
      <c r="J296" s="8"/>
      <c r="K296" s="8"/>
      <c r="L296" s="8" t="str">
        <f>IFERROR(__xludf.DUMMYFUNCTION("""COMPUTED_VALUE"""),"multiple")</f>
        <v>multiple</v>
      </c>
      <c r="M296" s="8">
        <f>IFERROR(__xludf.DUMMYFUNCTION("""COMPUTED_VALUE"""),2.0)</f>
        <v>2</v>
      </c>
      <c r="N296" s="8">
        <f>IFERROR(__xludf.DUMMYFUNCTION("""COMPUTED_VALUE"""),2.0)</f>
        <v>2</v>
      </c>
      <c r="O296" s="8"/>
      <c r="P296" s="8"/>
      <c r="Q296" s="8"/>
      <c r="R296" s="8"/>
      <c r="S296" s="8"/>
      <c r="T296" s="8"/>
      <c r="U296" s="8"/>
      <c r="V296" s="8"/>
      <c r="W296" s="8"/>
      <c r="X296" s="8"/>
      <c r="Y296" s="8"/>
      <c r="Z296" s="8"/>
    </row>
    <row r="297">
      <c r="A297" s="8">
        <f>IFERROR(__xludf.DUMMYFUNCTION("""COMPUTED_VALUE"""),628.0)</f>
        <v>628</v>
      </c>
      <c r="B297" s="8" t="str">
        <f>IFERROR(__xludf.DUMMYFUNCTION("""COMPUTED_VALUE"""),"tree")</f>
        <v>tree</v>
      </c>
      <c r="C297" s="8" t="str">
        <f>IFERROR(__xludf.DUMMYFUNCTION("""COMPUTED_VALUE"""),"graft")</f>
        <v>graft</v>
      </c>
      <c r="D297" s="55" t="str">
        <f>IFERROR(__xludf.DUMMYFUNCTION("""COMPUTED_VALUE"""),"Pouteria campechiana")</f>
        <v>Pouteria campechiana</v>
      </c>
      <c r="E297" s="8" t="str">
        <f>IFERROR(__xludf.DUMMYFUNCTION("""COMPUTED_VALUE"""),"Trompo")</f>
        <v>Trompo</v>
      </c>
      <c r="F297" s="8" t="str">
        <f>IFERROR(__xludf.DUMMYFUNCTION("""COMPUTED_VALUE"""),"Canistel")</f>
        <v>Canistel</v>
      </c>
      <c r="G297" s="8" t="str">
        <f>IFERROR(__xludf.DUMMYFUNCTION("""COMPUTED_VALUE"""),"Canistel")</f>
        <v>Canistel</v>
      </c>
      <c r="H297" s="8" t="str">
        <f>IFERROR(__xludf.DUMMYFUNCTION("""COMPUTED_VALUE"""),"Canistel")</f>
        <v>Canistel</v>
      </c>
      <c r="I297" s="8" t="str">
        <f>IFERROR(__xludf.DUMMYFUNCTION("""COMPUTED_VALUE"""),"015")</f>
        <v>015</v>
      </c>
      <c r="J297" s="8"/>
      <c r="K297" s="8"/>
      <c r="L297" s="8" t="str">
        <f>IFERROR(__xludf.DUMMYFUNCTION("""COMPUTED_VALUE"""),"multiple")</f>
        <v>multiple</v>
      </c>
      <c r="M297" s="8">
        <f>IFERROR(__xludf.DUMMYFUNCTION("""COMPUTED_VALUE"""),2.0)</f>
        <v>2</v>
      </c>
      <c r="N297" s="8">
        <f>IFERROR(__xludf.DUMMYFUNCTION("""COMPUTED_VALUE"""),2.0)</f>
        <v>2</v>
      </c>
      <c r="O297" s="8"/>
      <c r="P297" s="8"/>
      <c r="Q297" s="8"/>
      <c r="R297" s="8"/>
      <c r="S297" s="8"/>
      <c r="T297" s="8"/>
      <c r="U297" s="8"/>
      <c r="V297" s="8"/>
      <c r="W297" s="8"/>
      <c r="X297" s="8"/>
      <c r="Y297" s="8"/>
      <c r="Z297" s="8"/>
    </row>
    <row r="298">
      <c r="A298" s="8">
        <f>IFERROR(__xludf.DUMMYFUNCTION("""COMPUTED_VALUE"""),629.0)</f>
        <v>629</v>
      </c>
      <c r="B298" s="8" t="str">
        <f>IFERROR(__xludf.DUMMYFUNCTION("""COMPUTED_VALUE"""),"tree")</f>
        <v>tree</v>
      </c>
      <c r="C298" s="8" t="str">
        <f>IFERROR(__xludf.DUMMYFUNCTION("""COMPUTED_VALUE"""),"graft")</f>
        <v>graft</v>
      </c>
      <c r="D298" s="55" t="str">
        <f>IFERROR(__xludf.DUMMYFUNCTION("""COMPUTED_VALUE"""),"Pouteria campechiana")</f>
        <v>Pouteria campechiana</v>
      </c>
      <c r="E298" s="8" t="str">
        <f>IFERROR(__xludf.DUMMYFUNCTION("""COMPUTED_VALUE"""),"Oro")</f>
        <v>Oro</v>
      </c>
      <c r="F298" s="8" t="str">
        <f>IFERROR(__xludf.DUMMYFUNCTION("""COMPUTED_VALUE"""),"Canistel")</f>
        <v>Canistel</v>
      </c>
      <c r="G298" s="8" t="str">
        <f>IFERROR(__xludf.DUMMYFUNCTION("""COMPUTED_VALUE"""),"Canistel")</f>
        <v>Canistel</v>
      </c>
      <c r="H298" s="8" t="str">
        <f>IFERROR(__xludf.DUMMYFUNCTION("""COMPUTED_VALUE"""),"Canistel")</f>
        <v>Canistel</v>
      </c>
      <c r="I298" s="8" t="str">
        <f>IFERROR(__xludf.DUMMYFUNCTION("""COMPUTED_VALUE"""),"003")</f>
        <v>003</v>
      </c>
      <c r="J298" s="8"/>
      <c r="K298" s="8"/>
      <c r="L298" s="8" t="str">
        <f>IFERROR(__xludf.DUMMYFUNCTION("""COMPUTED_VALUE"""),"multiple")</f>
        <v>multiple</v>
      </c>
      <c r="M298" s="8">
        <f>IFERROR(__xludf.DUMMYFUNCTION("""COMPUTED_VALUE"""),2.0)</f>
        <v>2</v>
      </c>
      <c r="N298" s="8">
        <f>IFERROR(__xludf.DUMMYFUNCTION("""COMPUTED_VALUE"""),2.0)</f>
        <v>2</v>
      </c>
      <c r="O298" s="8"/>
      <c r="P298" s="8"/>
      <c r="Q298" s="8"/>
      <c r="R298" s="8"/>
      <c r="S298" s="8"/>
      <c r="T298" s="8"/>
      <c r="U298" s="8"/>
      <c r="V298" s="8"/>
      <c r="W298" s="8"/>
      <c r="X298" s="8"/>
      <c r="Y298" s="8"/>
      <c r="Z298" s="8"/>
    </row>
    <row r="299">
      <c r="A299" s="8">
        <f>IFERROR(__xludf.DUMMYFUNCTION("""COMPUTED_VALUE"""),630.0)</f>
        <v>630</v>
      </c>
      <c r="B299" s="8" t="str">
        <f>IFERROR(__xludf.DUMMYFUNCTION("""COMPUTED_VALUE"""),"tree")</f>
        <v>tree</v>
      </c>
      <c r="C299" s="8" t="str">
        <f>IFERROR(__xludf.DUMMYFUNCTION("""COMPUTED_VALUE"""),"graft")</f>
        <v>graft</v>
      </c>
      <c r="D299" s="55" t="str">
        <f>IFERROR(__xludf.DUMMYFUNCTION("""COMPUTED_VALUE"""),"Pouteria campechiana")</f>
        <v>Pouteria campechiana</v>
      </c>
      <c r="E299" s="8" t="str">
        <f>IFERROR(__xludf.DUMMYFUNCTION("""COMPUTED_VALUE"""),"Arue")</f>
        <v>Arue</v>
      </c>
      <c r="F299" s="8" t="str">
        <f>IFERROR(__xludf.DUMMYFUNCTION("""COMPUTED_VALUE"""),"Canistel")</f>
        <v>Canistel</v>
      </c>
      <c r="G299" s="8" t="str">
        <f>IFERROR(__xludf.DUMMYFUNCTION("""COMPUTED_VALUE"""),"Canistel")</f>
        <v>Canistel</v>
      </c>
      <c r="H299" s="8" t="str">
        <f>IFERROR(__xludf.DUMMYFUNCTION("""COMPUTED_VALUE"""),"Canistel")</f>
        <v>Canistel</v>
      </c>
      <c r="I299" s="8" t="str">
        <f>IFERROR(__xludf.DUMMYFUNCTION("""COMPUTED_VALUE"""),"021")</f>
        <v>021</v>
      </c>
      <c r="J299" s="8"/>
      <c r="K299" s="8"/>
      <c r="L299" s="8" t="str">
        <f>IFERROR(__xludf.DUMMYFUNCTION("""COMPUTED_VALUE"""),"multiple")</f>
        <v>multiple</v>
      </c>
      <c r="M299" s="8">
        <f>IFERROR(__xludf.DUMMYFUNCTION("""COMPUTED_VALUE"""),2.0)</f>
        <v>2</v>
      </c>
      <c r="N299" s="8">
        <f>IFERROR(__xludf.DUMMYFUNCTION("""COMPUTED_VALUE"""),2.0)</f>
        <v>2</v>
      </c>
      <c r="O299" s="8"/>
      <c r="P299" s="8"/>
      <c r="Q299" s="8"/>
      <c r="R299" s="8"/>
      <c r="S299" s="8"/>
      <c r="T299" s="8"/>
      <c r="U299" s="8"/>
      <c r="V299" s="8"/>
      <c r="W299" s="8"/>
      <c r="X299" s="8"/>
      <c r="Y299" s="8"/>
      <c r="Z299" s="8"/>
    </row>
    <row r="300">
      <c r="A300" s="8">
        <f>IFERROR(__xludf.DUMMYFUNCTION("""COMPUTED_VALUE"""),631.0)</f>
        <v>631</v>
      </c>
      <c r="B300" s="8" t="str">
        <f>IFERROR(__xludf.DUMMYFUNCTION("""COMPUTED_VALUE"""),"tree")</f>
        <v>tree</v>
      </c>
      <c r="C300" s="8" t="str">
        <f>IFERROR(__xludf.DUMMYFUNCTION("""COMPUTED_VALUE"""),"graft")</f>
        <v>graft</v>
      </c>
      <c r="D300" s="55" t="str">
        <f>IFERROR(__xludf.DUMMYFUNCTION("""COMPUTED_VALUE"""),"Pouteria campechiana")</f>
        <v>Pouteria campechiana</v>
      </c>
      <c r="E300" s="8" t="str">
        <f>IFERROR(__xludf.DUMMYFUNCTION("""COMPUTED_VALUE"""),"Ross")</f>
        <v>Ross</v>
      </c>
      <c r="F300" s="8" t="str">
        <f>IFERROR(__xludf.DUMMYFUNCTION("""COMPUTED_VALUE"""),"Canistel")</f>
        <v>Canistel</v>
      </c>
      <c r="G300" s="8" t="str">
        <f>IFERROR(__xludf.DUMMYFUNCTION("""COMPUTED_VALUE"""),"Canistel")</f>
        <v>Canistel</v>
      </c>
      <c r="H300" s="8" t="str">
        <f>IFERROR(__xludf.DUMMYFUNCTION("""COMPUTED_VALUE"""),"Canistel")</f>
        <v>Canistel</v>
      </c>
      <c r="I300" s="8" t="str">
        <f>IFERROR(__xludf.DUMMYFUNCTION("""COMPUTED_VALUE"""),"011")</f>
        <v>011</v>
      </c>
      <c r="J300" s="8"/>
      <c r="K300" s="8"/>
      <c r="L300" s="8" t="str">
        <f>IFERROR(__xludf.DUMMYFUNCTION("""COMPUTED_VALUE"""),"multiple")</f>
        <v>multiple</v>
      </c>
      <c r="M300" s="8">
        <f>IFERROR(__xludf.DUMMYFUNCTION("""COMPUTED_VALUE"""),2.0)</f>
        <v>2</v>
      </c>
      <c r="N300" s="8">
        <f>IFERROR(__xludf.DUMMYFUNCTION("""COMPUTED_VALUE"""),2.0)</f>
        <v>2</v>
      </c>
      <c r="O300" s="8"/>
      <c r="P300" s="8"/>
      <c r="Q300" s="8"/>
      <c r="R300" s="8"/>
      <c r="S300" s="8"/>
      <c r="T300" s="8"/>
      <c r="U300" s="8"/>
      <c r="V300" s="8"/>
      <c r="W300" s="8"/>
      <c r="X300" s="8"/>
      <c r="Y300" s="8"/>
      <c r="Z300" s="8"/>
    </row>
    <row r="301">
      <c r="A301" s="8">
        <f>IFERROR(__xludf.DUMMYFUNCTION("""COMPUTED_VALUE"""),632.0)</f>
        <v>632</v>
      </c>
      <c r="B301" s="8" t="str">
        <f>IFERROR(__xludf.DUMMYFUNCTION("""COMPUTED_VALUE"""),"tree")</f>
        <v>tree</v>
      </c>
      <c r="C301" s="8" t="str">
        <f>IFERROR(__xludf.DUMMYFUNCTION("""COMPUTED_VALUE"""),"graft")</f>
        <v>graft</v>
      </c>
      <c r="D301" s="55" t="str">
        <f>IFERROR(__xludf.DUMMYFUNCTION("""COMPUTED_VALUE"""),"Pouteria campechiana")</f>
        <v>Pouteria campechiana</v>
      </c>
      <c r="E301" s="8" t="str">
        <f>IFERROR(__xludf.DUMMYFUNCTION("""COMPUTED_VALUE"""),"Oro")</f>
        <v>Oro</v>
      </c>
      <c r="F301" s="8" t="str">
        <f>IFERROR(__xludf.DUMMYFUNCTION("""COMPUTED_VALUE"""),"Canistel")</f>
        <v>Canistel</v>
      </c>
      <c r="G301" s="8" t="str">
        <f>IFERROR(__xludf.DUMMYFUNCTION("""COMPUTED_VALUE"""),"Canistel")</f>
        <v>Canistel</v>
      </c>
      <c r="H301" s="8" t="str">
        <f>IFERROR(__xludf.DUMMYFUNCTION("""COMPUTED_VALUE"""),"Canistel")</f>
        <v>Canistel</v>
      </c>
      <c r="I301" s="8" t="str">
        <f>IFERROR(__xludf.DUMMYFUNCTION("""COMPUTED_VALUE"""),"013")</f>
        <v>013</v>
      </c>
      <c r="J301" s="8"/>
      <c r="K301" s="8"/>
      <c r="L301" s="8" t="str">
        <f>IFERROR(__xludf.DUMMYFUNCTION("""COMPUTED_VALUE"""),"multiple")</f>
        <v>multiple</v>
      </c>
      <c r="M301" s="8">
        <f>IFERROR(__xludf.DUMMYFUNCTION("""COMPUTED_VALUE"""),2.0)</f>
        <v>2</v>
      </c>
      <c r="N301" s="8">
        <f>IFERROR(__xludf.DUMMYFUNCTION("""COMPUTED_VALUE"""),2.0)</f>
        <v>2</v>
      </c>
      <c r="O301" s="8"/>
      <c r="P301" s="8"/>
      <c r="Q301" s="8"/>
      <c r="R301" s="8"/>
      <c r="S301" s="8"/>
      <c r="T301" s="8"/>
      <c r="U301" s="8"/>
      <c r="V301" s="8"/>
      <c r="W301" s="8"/>
      <c r="X301" s="8"/>
      <c r="Y301" s="8"/>
      <c r="Z301" s="8"/>
    </row>
    <row r="302">
      <c r="A302" s="8">
        <f>IFERROR(__xludf.DUMMYFUNCTION("""COMPUTED_VALUE"""),633.0)</f>
        <v>633</v>
      </c>
      <c r="B302" s="8" t="str">
        <f>IFERROR(__xludf.DUMMYFUNCTION("""COMPUTED_VALUE"""),"tree")</f>
        <v>tree</v>
      </c>
      <c r="C302" s="8" t="str">
        <f>IFERROR(__xludf.DUMMYFUNCTION("""COMPUTED_VALUE"""),"graft")</f>
        <v>graft</v>
      </c>
      <c r="D302" s="55" t="str">
        <f>IFERROR(__xludf.DUMMYFUNCTION("""COMPUTED_VALUE"""),"Pouteria campechiana")</f>
        <v>Pouteria campechiana</v>
      </c>
      <c r="E302" s="8" t="str">
        <f>IFERROR(__xludf.DUMMYFUNCTION("""COMPUTED_VALUE"""),"Arue")</f>
        <v>Arue</v>
      </c>
      <c r="F302" s="8" t="str">
        <f>IFERROR(__xludf.DUMMYFUNCTION("""COMPUTED_VALUE"""),"Canistel")</f>
        <v>Canistel</v>
      </c>
      <c r="G302" s="8" t="str">
        <f>IFERROR(__xludf.DUMMYFUNCTION("""COMPUTED_VALUE"""),"Canistel")</f>
        <v>Canistel</v>
      </c>
      <c r="H302" s="8" t="str">
        <f>IFERROR(__xludf.DUMMYFUNCTION("""COMPUTED_VALUE"""),"Canistel")</f>
        <v>Canistel</v>
      </c>
      <c r="I302" s="8" t="str">
        <f>IFERROR(__xludf.DUMMYFUNCTION("""COMPUTED_VALUE"""),"005")</f>
        <v>005</v>
      </c>
      <c r="J302" s="8"/>
      <c r="K302" s="8"/>
      <c r="L302" s="8" t="str">
        <f>IFERROR(__xludf.DUMMYFUNCTION("""COMPUTED_VALUE"""),"multiple")</f>
        <v>multiple</v>
      </c>
      <c r="M302" s="8">
        <f>IFERROR(__xludf.DUMMYFUNCTION("""COMPUTED_VALUE"""),2.0)</f>
        <v>2</v>
      </c>
      <c r="N302" s="8">
        <f>IFERROR(__xludf.DUMMYFUNCTION("""COMPUTED_VALUE"""),2.0)</f>
        <v>2</v>
      </c>
      <c r="O302" s="8"/>
      <c r="P302" s="8"/>
      <c r="Q302" s="8"/>
      <c r="R302" s="8"/>
      <c r="S302" s="8"/>
      <c r="T302" s="8"/>
      <c r="U302" s="8"/>
      <c r="V302" s="8"/>
      <c r="W302" s="8"/>
      <c r="X302" s="8"/>
      <c r="Y302" s="8"/>
      <c r="Z302" s="8"/>
    </row>
    <row r="303">
      <c r="A303" s="8">
        <f>IFERROR(__xludf.DUMMYFUNCTION("""COMPUTED_VALUE"""),634.0)</f>
        <v>634</v>
      </c>
      <c r="B303" s="8" t="str">
        <f>IFERROR(__xludf.DUMMYFUNCTION("""COMPUTED_VALUE"""),"tree")</f>
        <v>tree</v>
      </c>
      <c r="C303" s="8" t="str">
        <f>IFERROR(__xludf.DUMMYFUNCTION("""COMPUTED_VALUE"""),"graft")</f>
        <v>graft</v>
      </c>
      <c r="D303" s="55" t="str">
        <f>IFERROR(__xludf.DUMMYFUNCTION("""COMPUTED_VALUE"""),"Pouteria campechiana")</f>
        <v>Pouteria campechiana</v>
      </c>
      <c r="E303" s="8" t="str">
        <f>IFERROR(__xludf.DUMMYFUNCTION("""COMPUTED_VALUE"""),"Bruce")</f>
        <v>Bruce</v>
      </c>
      <c r="F303" s="8" t="str">
        <f>IFERROR(__xludf.DUMMYFUNCTION("""COMPUTED_VALUE"""),"Canistel")</f>
        <v>Canistel</v>
      </c>
      <c r="G303" s="8" t="str">
        <f>IFERROR(__xludf.DUMMYFUNCTION("""COMPUTED_VALUE"""),"Canistel")</f>
        <v>Canistel</v>
      </c>
      <c r="H303" s="8" t="str">
        <f>IFERROR(__xludf.DUMMYFUNCTION("""COMPUTED_VALUE"""),"Canistel")</f>
        <v>Canistel</v>
      </c>
      <c r="I303" s="8" t="str">
        <f>IFERROR(__xludf.DUMMYFUNCTION("""COMPUTED_VALUE"""),"023")</f>
        <v>023</v>
      </c>
      <c r="J303" s="8"/>
      <c r="K303" s="8"/>
      <c r="L303" s="8" t="str">
        <f>IFERROR(__xludf.DUMMYFUNCTION("""COMPUTED_VALUE"""),"multiple")</f>
        <v>multiple</v>
      </c>
      <c r="M303" s="8">
        <f>IFERROR(__xludf.DUMMYFUNCTION("""COMPUTED_VALUE"""),1.0)</f>
        <v>1</v>
      </c>
      <c r="N303" s="8">
        <f>IFERROR(__xludf.DUMMYFUNCTION("""COMPUTED_VALUE"""),1.0)</f>
        <v>1</v>
      </c>
      <c r="O303" s="8"/>
      <c r="P303" s="8"/>
      <c r="Q303" s="8"/>
      <c r="R303" s="8"/>
      <c r="S303" s="8"/>
      <c r="T303" s="8"/>
      <c r="U303" s="8"/>
      <c r="V303" s="8"/>
      <c r="W303" s="8"/>
      <c r="X303" s="8"/>
      <c r="Y303" s="8"/>
      <c r="Z303" s="8"/>
    </row>
    <row r="304">
      <c r="A304" s="8">
        <f>IFERROR(__xludf.DUMMYFUNCTION("""COMPUTED_VALUE"""),635.0)</f>
        <v>635</v>
      </c>
      <c r="B304" s="8" t="str">
        <f>IFERROR(__xludf.DUMMYFUNCTION("""COMPUTED_VALUE"""),"perennial")</f>
        <v>perennial</v>
      </c>
      <c r="C304" s="8" t="str">
        <f>IFERROR(__xludf.DUMMYFUNCTION("""COMPUTED_VALUE"""),"cutting")</f>
        <v>cutting</v>
      </c>
      <c r="D304" s="55" t="str">
        <f>IFERROR(__xludf.DUMMYFUNCTION("""COMPUTED_VALUE"""),"Hylocereus polyrhizus")</f>
        <v>Hylocereus polyrhizus</v>
      </c>
      <c r="E304" s="8" t="str">
        <f>IFERROR(__xludf.DUMMYFUNCTION("""COMPUTED_VALUE"""),"Natural Mystic")</f>
        <v>Natural Mystic</v>
      </c>
      <c r="F304" s="8" t="str">
        <f>IFERROR(__xludf.DUMMYFUNCTION("""COMPUTED_VALUE"""),"Dragon Fruit")</f>
        <v>Dragon Fruit</v>
      </c>
      <c r="G304" s="8" t="str">
        <f>IFERROR(__xludf.DUMMYFUNCTION("""COMPUTED_VALUE"""),"Fruit du dragon")</f>
        <v>Fruit du dragon</v>
      </c>
      <c r="H304" s="8" t="str">
        <f>IFERROR(__xludf.DUMMYFUNCTION("""COMPUTED_VALUE"""),"Dragon Fruit")</f>
        <v>Dragon Fruit</v>
      </c>
      <c r="I304" s="8" t="str">
        <f>IFERROR(__xludf.DUMMYFUNCTION("""COMPUTED_VALUE"""),"D09")</f>
        <v>D09</v>
      </c>
      <c r="J304" s="8"/>
      <c r="K304" s="8"/>
      <c r="L304" s="8" t="str">
        <f>IFERROR(__xludf.DUMMYFUNCTION("""COMPUTED_VALUE"""),"multiple")</f>
        <v>multiple</v>
      </c>
      <c r="M304" s="8">
        <f>IFERROR(__xludf.DUMMYFUNCTION("""COMPUTED_VALUE"""),5.0)</f>
        <v>5</v>
      </c>
      <c r="N304" s="8">
        <f>IFERROR(__xludf.DUMMYFUNCTION("""COMPUTED_VALUE"""),5.0)</f>
        <v>5</v>
      </c>
      <c r="O304" s="8"/>
      <c r="P304" s="8"/>
      <c r="Q304" s="8"/>
      <c r="R304" s="8"/>
      <c r="S304" s="8"/>
      <c r="T304" s="8"/>
      <c r="U304" s="8"/>
      <c r="V304" s="8"/>
      <c r="W304" s="8"/>
      <c r="X304" s="8"/>
      <c r="Y304" s="8"/>
      <c r="Z304" s="8"/>
    </row>
    <row r="305">
      <c r="A305" s="8">
        <f>IFERROR(__xludf.DUMMYFUNCTION("""COMPUTED_VALUE"""),636.0)</f>
        <v>636</v>
      </c>
      <c r="B305" s="8" t="str">
        <f>IFERROR(__xludf.DUMMYFUNCTION("""COMPUTED_VALUE"""),"tree")</f>
        <v>tree</v>
      </c>
      <c r="C305" s="8" t="str">
        <f>IFERROR(__xludf.DUMMYFUNCTION("""COMPUTED_VALUE"""),"graft")</f>
        <v>graft</v>
      </c>
      <c r="D305" s="55" t="str">
        <f>IFERROR(__xludf.DUMMYFUNCTION("""COMPUTED_VALUE"""),"Pouteria campechiana")</f>
        <v>Pouteria campechiana</v>
      </c>
      <c r="E305" s="8" t="str">
        <f>IFERROR(__xludf.DUMMYFUNCTION("""COMPUTED_VALUE"""),"Fairchild")</f>
        <v>Fairchild</v>
      </c>
      <c r="F305" s="8" t="str">
        <f>IFERROR(__xludf.DUMMYFUNCTION("""COMPUTED_VALUE"""),"Canistel")</f>
        <v>Canistel</v>
      </c>
      <c r="G305" s="8" t="str">
        <f>IFERROR(__xludf.DUMMYFUNCTION("""COMPUTED_VALUE"""),"Canistel")</f>
        <v>Canistel</v>
      </c>
      <c r="H305" s="8" t="str">
        <f>IFERROR(__xludf.DUMMYFUNCTION("""COMPUTED_VALUE"""),"Canistel")</f>
        <v>Canistel</v>
      </c>
      <c r="I305" s="8" t="str">
        <f>IFERROR(__xludf.DUMMYFUNCTION("""COMPUTED_VALUE"""),"019")</f>
        <v>019</v>
      </c>
      <c r="J305" s="8"/>
      <c r="K305" s="8"/>
      <c r="L305" s="8" t="str">
        <f>IFERROR(__xludf.DUMMYFUNCTION("""COMPUTED_VALUE"""),"multiple")</f>
        <v>multiple</v>
      </c>
      <c r="M305" s="8">
        <f>IFERROR(__xludf.DUMMYFUNCTION("""COMPUTED_VALUE"""),1.0)</f>
        <v>1</v>
      </c>
      <c r="N305" s="8">
        <f>IFERROR(__xludf.DUMMYFUNCTION("""COMPUTED_VALUE"""),1.0)</f>
        <v>1</v>
      </c>
      <c r="O305" s="8"/>
      <c r="P305" s="8"/>
      <c r="Q305" s="8"/>
      <c r="R305" s="8"/>
      <c r="S305" s="8"/>
      <c r="T305" s="8"/>
      <c r="U305" s="8"/>
      <c r="V305" s="8"/>
      <c r="W305" s="8"/>
      <c r="X305" s="8"/>
      <c r="Y305" s="8"/>
      <c r="Z305" s="8"/>
    </row>
    <row r="306">
      <c r="A306" s="8">
        <f>IFERROR(__xludf.DUMMYFUNCTION("""COMPUTED_VALUE"""),637.0)</f>
        <v>637</v>
      </c>
      <c r="B306" s="8" t="str">
        <f>IFERROR(__xludf.DUMMYFUNCTION("""COMPUTED_VALUE"""),"perennial")</f>
        <v>perennial</v>
      </c>
      <c r="C306" s="8" t="str">
        <f>IFERROR(__xludf.DUMMYFUNCTION("""COMPUTED_VALUE"""),"cutting")</f>
        <v>cutting</v>
      </c>
      <c r="D306" s="55" t="str">
        <f>IFERROR(__xludf.DUMMYFUNCTION("""COMPUTED_VALUE"""),"Hylocereus polyrhizus")</f>
        <v>Hylocereus polyrhizus</v>
      </c>
      <c r="E306" s="8" t="str">
        <f>IFERROR(__xludf.DUMMYFUNCTION("""COMPUTED_VALUE"""),"Physical Graffiti")</f>
        <v>Physical Graffiti</v>
      </c>
      <c r="F306" s="8" t="str">
        <f>IFERROR(__xludf.DUMMYFUNCTION("""COMPUTED_VALUE"""),"Dragon Fruit")</f>
        <v>Dragon Fruit</v>
      </c>
      <c r="G306" s="8" t="str">
        <f>IFERROR(__xludf.DUMMYFUNCTION("""COMPUTED_VALUE"""),"Fruit du dragon")</f>
        <v>Fruit du dragon</v>
      </c>
      <c r="H306" s="8" t="str">
        <f>IFERROR(__xludf.DUMMYFUNCTION("""COMPUTED_VALUE"""),"Dragon Fruit")</f>
        <v>Dragon Fruit</v>
      </c>
      <c r="I306" s="8" t="str">
        <f>IFERROR(__xludf.DUMMYFUNCTION("""COMPUTED_VALUE"""),"D17")</f>
        <v>D17</v>
      </c>
      <c r="J306" s="8"/>
      <c r="K306" s="8"/>
      <c r="L306" s="8" t="str">
        <f>IFERROR(__xludf.DUMMYFUNCTION("""COMPUTED_VALUE"""),"multiple")</f>
        <v>multiple</v>
      </c>
      <c r="M306" s="8">
        <f>IFERROR(__xludf.DUMMYFUNCTION("""COMPUTED_VALUE"""),0.0)</f>
        <v>0</v>
      </c>
      <c r="N306" s="8">
        <f>IFERROR(__xludf.DUMMYFUNCTION("""COMPUTED_VALUE"""),1.0)</f>
        <v>1</v>
      </c>
      <c r="O306" s="8"/>
      <c r="P306" s="8"/>
      <c r="Q306" s="8"/>
      <c r="R306" s="8"/>
      <c r="S306" s="8"/>
      <c r="T306" s="8"/>
      <c r="U306" s="8"/>
      <c r="V306" s="8"/>
      <c r="W306" s="8"/>
      <c r="X306" s="8"/>
      <c r="Y306" s="8"/>
      <c r="Z306" s="8"/>
    </row>
    <row r="307">
      <c r="A307" s="8">
        <f>IFERROR(__xludf.DUMMYFUNCTION("""COMPUTED_VALUE"""),638.0)</f>
        <v>638</v>
      </c>
      <c r="B307" s="8" t="str">
        <f>IFERROR(__xludf.DUMMYFUNCTION("""COMPUTED_VALUE"""),"tree")</f>
        <v>tree</v>
      </c>
      <c r="C307" s="8" t="str">
        <f>IFERROR(__xludf.DUMMYFUNCTION("""COMPUTED_VALUE"""),"graft")</f>
        <v>graft</v>
      </c>
      <c r="D307" s="55" t="str">
        <f>IFERROR(__xludf.DUMMYFUNCTION("""COMPUTED_VALUE"""),"Pouteria campechiana")</f>
        <v>Pouteria campechiana</v>
      </c>
      <c r="E307" s="8" t="str">
        <f>IFERROR(__xludf.DUMMYFUNCTION("""COMPUTED_VALUE"""),"Trompo")</f>
        <v>Trompo</v>
      </c>
      <c r="F307" s="8" t="str">
        <f>IFERROR(__xludf.DUMMYFUNCTION("""COMPUTED_VALUE"""),"Canistel")</f>
        <v>Canistel</v>
      </c>
      <c r="G307" s="8" t="str">
        <f>IFERROR(__xludf.DUMMYFUNCTION("""COMPUTED_VALUE"""),"Canistel")</f>
        <v>Canistel</v>
      </c>
      <c r="H307" s="8" t="str">
        <f>IFERROR(__xludf.DUMMYFUNCTION("""COMPUTED_VALUE"""),"Canistel")</f>
        <v>Canistel</v>
      </c>
      <c r="I307" s="8" t="str">
        <f>IFERROR(__xludf.DUMMYFUNCTION("""COMPUTED_VALUE"""),"009")</f>
        <v>009</v>
      </c>
      <c r="J307" s="8"/>
      <c r="K307" s="8"/>
      <c r="L307" s="8" t="str">
        <f>IFERROR(__xludf.DUMMYFUNCTION("""COMPUTED_VALUE"""),"multiple")</f>
        <v>multiple</v>
      </c>
      <c r="M307" s="8">
        <f>IFERROR(__xludf.DUMMYFUNCTION("""COMPUTED_VALUE"""),2.0)</f>
        <v>2</v>
      </c>
      <c r="N307" s="8">
        <f>IFERROR(__xludf.DUMMYFUNCTION("""COMPUTED_VALUE"""),2.0)</f>
        <v>2</v>
      </c>
      <c r="O307" s="8"/>
      <c r="P307" s="8"/>
      <c r="Q307" s="8"/>
      <c r="R307" s="8"/>
      <c r="S307" s="8"/>
      <c r="T307" s="8"/>
      <c r="U307" s="8"/>
      <c r="V307" s="8"/>
      <c r="W307" s="8"/>
      <c r="X307" s="8"/>
      <c r="Y307" s="8"/>
      <c r="Z307" s="8"/>
    </row>
    <row r="308">
      <c r="A308" s="8">
        <f>IFERROR(__xludf.DUMMYFUNCTION("""COMPUTED_VALUE"""),639.0)</f>
        <v>639</v>
      </c>
      <c r="B308" s="8" t="str">
        <f>IFERROR(__xludf.DUMMYFUNCTION("""COMPUTED_VALUE"""),"tree")</f>
        <v>tree</v>
      </c>
      <c r="C308" s="8" t="str">
        <f>IFERROR(__xludf.DUMMYFUNCTION("""COMPUTED_VALUE"""),"graft")</f>
        <v>graft</v>
      </c>
      <c r="D308" s="55" t="str">
        <f>IFERROR(__xludf.DUMMYFUNCTION("""COMPUTED_VALUE"""),"Pouteria campechiana")</f>
        <v>Pouteria campechiana</v>
      </c>
      <c r="E308" s="8" t="str">
        <f>IFERROR(__xludf.DUMMYFUNCTION("""COMPUTED_VALUE"""),"Aurea")</f>
        <v>Aurea</v>
      </c>
      <c r="F308" s="8" t="str">
        <f>IFERROR(__xludf.DUMMYFUNCTION("""COMPUTED_VALUE"""),"Canistel")</f>
        <v>Canistel</v>
      </c>
      <c r="G308" s="8" t="str">
        <f>IFERROR(__xludf.DUMMYFUNCTION("""COMPUTED_VALUE"""),"Canistel")</f>
        <v>Canistel</v>
      </c>
      <c r="H308" s="8" t="str">
        <f>IFERROR(__xludf.DUMMYFUNCTION("""COMPUTED_VALUE"""),"Canistel")</f>
        <v>Canistel</v>
      </c>
      <c r="I308" s="8" t="str">
        <f>IFERROR(__xludf.DUMMYFUNCTION("""COMPUTED_VALUE"""),"017")</f>
        <v>017</v>
      </c>
      <c r="J308" s="8"/>
      <c r="K308" s="8"/>
      <c r="L308" s="8" t="str">
        <f>IFERROR(__xludf.DUMMYFUNCTION("""COMPUTED_VALUE"""),"multiple")</f>
        <v>multiple</v>
      </c>
      <c r="M308" s="8">
        <f>IFERROR(__xludf.DUMMYFUNCTION("""COMPUTED_VALUE"""),1.0)</f>
        <v>1</v>
      </c>
      <c r="N308" s="8">
        <f>IFERROR(__xludf.DUMMYFUNCTION("""COMPUTED_VALUE"""),1.0)</f>
        <v>1</v>
      </c>
      <c r="O308" s="8"/>
      <c r="P308" s="8"/>
      <c r="Q308" s="8"/>
      <c r="R308" s="8"/>
      <c r="S308" s="8"/>
      <c r="T308" s="8"/>
      <c r="U308" s="8"/>
      <c r="V308" s="8"/>
      <c r="W308" s="8"/>
      <c r="X308" s="8"/>
      <c r="Y308" s="8"/>
      <c r="Z308" s="8"/>
    </row>
    <row r="309">
      <c r="A309" s="8">
        <f>IFERROR(__xludf.DUMMYFUNCTION("""COMPUTED_VALUE"""),640.0)</f>
        <v>640</v>
      </c>
      <c r="B309" s="8" t="str">
        <f>IFERROR(__xludf.DUMMYFUNCTION("""COMPUTED_VALUE"""),"tree")</f>
        <v>tree</v>
      </c>
      <c r="C309" s="8" t="str">
        <f>IFERROR(__xludf.DUMMYFUNCTION("""COMPUTED_VALUE"""),"graft")</f>
        <v>graft</v>
      </c>
      <c r="D309" s="55" t="str">
        <f>IFERROR(__xludf.DUMMYFUNCTION("""COMPUTED_VALUE"""),"Averrhoa carambola")</f>
        <v>Averrhoa carambola</v>
      </c>
      <c r="E309" s="8" t="str">
        <f>IFERROR(__xludf.DUMMYFUNCTION("""COMPUTED_VALUE"""),"Sri Kembangan")</f>
        <v>Sri Kembangan</v>
      </c>
      <c r="F309" s="8" t="str">
        <f>IFERROR(__xludf.DUMMYFUNCTION("""COMPUTED_VALUE"""),"Carambola")</f>
        <v>Carambola</v>
      </c>
      <c r="G309" s="8" t="str">
        <f>IFERROR(__xludf.DUMMYFUNCTION("""COMPUTED_VALUE"""),"Carambolier")</f>
        <v>Carambolier</v>
      </c>
      <c r="H309" s="8" t="str">
        <f>IFERROR(__xludf.DUMMYFUNCTION("""COMPUTED_VALUE"""),"Star Fruit")</f>
        <v>Star Fruit</v>
      </c>
      <c r="I309" s="8" t="str">
        <f>IFERROR(__xludf.DUMMYFUNCTION("""COMPUTED_VALUE"""),"065")</f>
        <v>065</v>
      </c>
      <c r="J309" s="8"/>
      <c r="K309" s="8"/>
      <c r="L309" s="8" t="str">
        <f>IFERROR(__xludf.DUMMYFUNCTION("""COMPUTED_VALUE"""),"multiple")</f>
        <v>multiple</v>
      </c>
      <c r="M309" s="8">
        <f>IFERROR(__xludf.DUMMYFUNCTION("""COMPUTED_VALUE"""),1.0)</f>
        <v>1</v>
      </c>
      <c r="N309" s="8">
        <f>IFERROR(__xludf.DUMMYFUNCTION("""COMPUTED_VALUE"""),1.0)</f>
        <v>1</v>
      </c>
      <c r="O309" s="8"/>
      <c r="P309" s="8"/>
      <c r="Q309" s="8"/>
      <c r="R309" s="8"/>
      <c r="S309" s="8"/>
      <c r="T309" s="8"/>
      <c r="U309" s="8"/>
      <c r="V309" s="8"/>
      <c r="W309" s="8"/>
      <c r="X309" s="8"/>
      <c r="Y309" s="8"/>
      <c r="Z309" s="8"/>
    </row>
    <row r="310">
      <c r="A310" s="8">
        <f>IFERROR(__xludf.DUMMYFUNCTION("""COMPUTED_VALUE"""),641.0)</f>
        <v>641</v>
      </c>
      <c r="B310" s="8" t="str">
        <f>IFERROR(__xludf.DUMMYFUNCTION("""COMPUTED_VALUE"""),"tree")</f>
        <v>tree</v>
      </c>
      <c r="C310" s="8" t="str">
        <f>IFERROR(__xludf.DUMMYFUNCTION("""COMPUTED_VALUE"""),"graft")</f>
        <v>graft</v>
      </c>
      <c r="D310" s="55" t="str">
        <f>IFERROR(__xludf.DUMMYFUNCTION("""COMPUTED_VALUE"""),"Averrhoa carambola")</f>
        <v>Averrhoa carambola</v>
      </c>
      <c r="E310" s="8" t="str">
        <f>IFERROR(__xludf.DUMMYFUNCTION("""COMPUTED_VALUE"""),"Fwang Tung")</f>
        <v>Fwang Tung</v>
      </c>
      <c r="F310" s="8" t="str">
        <f>IFERROR(__xludf.DUMMYFUNCTION("""COMPUTED_VALUE"""),"Carambola")</f>
        <v>Carambola</v>
      </c>
      <c r="G310" s="8" t="str">
        <f>IFERROR(__xludf.DUMMYFUNCTION("""COMPUTED_VALUE"""),"Carambolier")</f>
        <v>Carambolier</v>
      </c>
      <c r="H310" s="8" t="str">
        <f>IFERROR(__xludf.DUMMYFUNCTION("""COMPUTED_VALUE"""),"Star Fruit")</f>
        <v>Star Fruit</v>
      </c>
      <c r="I310" s="8" t="str">
        <f>IFERROR(__xludf.DUMMYFUNCTION("""COMPUTED_VALUE"""),"078")</f>
        <v>078</v>
      </c>
      <c r="J310" s="8"/>
      <c r="K310" s="8"/>
      <c r="L310" s="8" t="str">
        <f>IFERROR(__xludf.DUMMYFUNCTION("""COMPUTED_VALUE"""),"multiple")</f>
        <v>multiple</v>
      </c>
      <c r="M310" s="8">
        <f>IFERROR(__xludf.DUMMYFUNCTION("""COMPUTED_VALUE"""),1.0)</f>
        <v>1</v>
      </c>
      <c r="N310" s="8">
        <f>IFERROR(__xludf.DUMMYFUNCTION("""COMPUTED_VALUE"""),1.0)</f>
        <v>1</v>
      </c>
      <c r="O310" s="8"/>
      <c r="P310" s="8"/>
      <c r="Q310" s="8"/>
      <c r="R310" s="8"/>
      <c r="S310" s="8"/>
      <c r="T310" s="8"/>
      <c r="U310" s="8"/>
      <c r="V310" s="8"/>
      <c r="W310" s="8"/>
      <c r="X310" s="8"/>
      <c r="Y310" s="8"/>
      <c r="Z310" s="8"/>
    </row>
    <row r="311">
      <c r="A311" s="8">
        <f>IFERROR(__xludf.DUMMYFUNCTION("""COMPUTED_VALUE"""),642.0)</f>
        <v>642</v>
      </c>
      <c r="B311" s="8" t="str">
        <f>IFERROR(__xludf.DUMMYFUNCTION("""COMPUTED_VALUE"""),"tree")</f>
        <v>tree</v>
      </c>
      <c r="C311" s="8" t="str">
        <f>IFERROR(__xludf.DUMMYFUNCTION("""COMPUTED_VALUE"""),"graft")</f>
        <v>graft</v>
      </c>
      <c r="D311" s="55" t="str">
        <f>IFERROR(__xludf.DUMMYFUNCTION("""COMPUTED_VALUE"""),"Averrhoa carambola")</f>
        <v>Averrhoa carambola</v>
      </c>
      <c r="E311" s="8" t="str">
        <f>IFERROR(__xludf.DUMMYFUNCTION("""COMPUTED_VALUE"""),"Punta Gorda")</f>
        <v>Punta Gorda</v>
      </c>
      <c r="F311" s="8" t="str">
        <f>IFERROR(__xludf.DUMMYFUNCTION("""COMPUTED_VALUE"""),"Carambola")</f>
        <v>Carambola</v>
      </c>
      <c r="G311" s="8" t="str">
        <f>IFERROR(__xludf.DUMMYFUNCTION("""COMPUTED_VALUE"""),"Carambolier")</f>
        <v>Carambolier</v>
      </c>
      <c r="H311" s="8" t="str">
        <f>IFERROR(__xludf.DUMMYFUNCTION("""COMPUTED_VALUE"""),"Star Fruit")</f>
        <v>Star Fruit</v>
      </c>
      <c r="I311" s="8" t="str">
        <f>IFERROR(__xludf.DUMMYFUNCTION("""COMPUTED_VALUE"""),"059")</f>
        <v>059</v>
      </c>
      <c r="J311" s="8"/>
      <c r="K311" s="8"/>
      <c r="L311" s="8" t="str">
        <f>IFERROR(__xludf.DUMMYFUNCTION("""COMPUTED_VALUE"""),"multiple")</f>
        <v>multiple</v>
      </c>
      <c r="M311" s="8">
        <f>IFERROR(__xludf.DUMMYFUNCTION("""COMPUTED_VALUE"""),1.0)</f>
        <v>1</v>
      </c>
      <c r="N311" s="8">
        <f>IFERROR(__xludf.DUMMYFUNCTION("""COMPUTED_VALUE"""),1.0)</f>
        <v>1</v>
      </c>
      <c r="O311" s="8"/>
      <c r="P311" s="8"/>
      <c r="Q311" s="8"/>
      <c r="R311" s="8"/>
      <c r="S311" s="8"/>
      <c r="T311" s="8"/>
      <c r="U311" s="8"/>
      <c r="V311" s="8"/>
      <c r="W311" s="8"/>
      <c r="X311" s="8"/>
      <c r="Y311" s="8"/>
      <c r="Z311" s="8"/>
    </row>
    <row r="312">
      <c r="A312" s="8">
        <f>IFERROR(__xludf.DUMMYFUNCTION("""COMPUTED_VALUE"""),643.0)</f>
        <v>643</v>
      </c>
      <c r="B312" s="8" t="str">
        <f>IFERROR(__xludf.DUMMYFUNCTION("""COMPUTED_VALUE"""),"tree")</f>
        <v>tree</v>
      </c>
      <c r="C312" s="8" t="str">
        <f>IFERROR(__xludf.DUMMYFUNCTION("""COMPUTED_VALUE"""),"graft")</f>
        <v>graft</v>
      </c>
      <c r="D312" s="55" t="str">
        <f>IFERROR(__xludf.DUMMYFUNCTION("""COMPUTED_VALUE"""),"Averrhoa carambola")</f>
        <v>Averrhoa carambola</v>
      </c>
      <c r="E312" s="8" t="str">
        <f>IFERROR(__xludf.DUMMYFUNCTION("""COMPUTED_VALUE"""),"Kajang")</f>
        <v>Kajang</v>
      </c>
      <c r="F312" s="8" t="str">
        <f>IFERROR(__xludf.DUMMYFUNCTION("""COMPUTED_VALUE"""),"Carambola")</f>
        <v>Carambola</v>
      </c>
      <c r="G312" s="8" t="str">
        <f>IFERROR(__xludf.DUMMYFUNCTION("""COMPUTED_VALUE"""),"Carambolier")</f>
        <v>Carambolier</v>
      </c>
      <c r="H312" s="8" t="str">
        <f>IFERROR(__xludf.DUMMYFUNCTION("""COMPUTED_VALUE"""),"Star Fruit")</f>
        <v>Star Fruit</v>
      </c>
      <c r="I312" s="8" t="str">
        <f>IFERROR(__xludf.DUMMYFUNCTION("""COMPUTED_VALUE"""),"102")</f>
        <v>102</v>
      </c>
      <c r="J312" s="8"/>
      <c r="K312" s="8"/>
      <c r="L312" s="8" t="str">
        <f>IFERROR(__xludf.DUMMYFUNCTION("""COMPUTED_VALUE"""),"multiple")</f>
        <v>multiple</v>
      </c>
      <c r="M312" s="8">
        <f>IFERROR(__xludf.DUMMYFUNCTION("""COMPUTED_VALUE"""),1.0)</f>
        <v>1</v>
      </c>
      <c r="N312" s="8">
        <f>IFERROR(__xludf.DUMMYFUNCTION("""COMPUTED_VALUE"""),1.0)</f>
        <v>1</v>
      </c>
      <c r="O312" s="8"/>
      <c r="P312" s="8"/>
      <c r="Q312" s="8"/>
      <c r="R312" s="8"/>
      <c r="S312" s="8"/>
      <c r="T312" s="8"/>
      <c r="U312" s="8"/>
      <c r="V312" s="8"/>
      <c r="W312" s="8"/>
      <c r="X312" s="8"/>
      <c r="Y312" s="8"/>
      <c r="Z312" s="8"/>
    </row>
    <row r="313">
      <c r="A313" s="8">
        <f>IFERROR(__xludf.DUMMYFUNCTION("""COMPUTED_VALUE"""),644.0)</f>
        <v>644</v>
      </c>
      <c r="B313" s="8" t="str">
        <f>IFERROR(__xludf.DUMMYFUNCTION("""COMPUTED_VALUE"""),"tree")</f>
        <v>tree</v>
      </c>
      <c r="C313" s="8" t="str">
        <f>IFERROR(__xludf.DUMMYFUNCTION("""COMPUTED_VALUE"""),"graft")</f>
        <v>graft</v>
      </c>
      <c r="D313" s="55" t="str">
        <f>IFERROR(__xludf.DUMMYFUNCTION("""COMPUTED_VALUE"""),"Averrhoa carambola")</f>
        <v>Averrhoa carambola</v>
      </c>
      <c r="E313" s="8" t="str">
        <f>IFERROR(__xludf.DUMMYFUNCTION("""COMPUTED_VALUE"""),"Lara")</f>
        <v>Lara</v>
      </c>
      <c r="F313" s="8" t="str">
        <f>IFERROR(__xludf.DUMMYFUNCTION("""COMPUTED_VALUE"""),"Carambola")</f>
        <v>Carambola</v>
      </c>
      <c r="G313" s="8" t="str">
        <f>IFERROR(__xludf.DUMMYFUNCTION("""COMPUTED_VALUE"""),"Carambolier")</f>
        <v>Carambolier</v>
      </c>
      <c r="H313" s="8" t="str">
        <f>IFERROR(__xludf.DUMMYFUNCTION("""COMPUTED_VALUE"""),"Star Fruit")</f>
        <v>Star Fruit</v>
      </c>
      <c r="I313" s="8" t="str">
        <f>IFERROR(__xludf.DUMMYFUNCTION("""COMPUTED_VALUE"""),"098")</f>
        <v>098</v>
      </c>
      <c r="J313" s="8"/>
      <c r="K313" s="8"/>
      <c r="L313" s="8" t="str">
        <f>IFERROR(__xludf.DUMMYFUNCTION("""COMPUTED_VALUE"""),"multiple")</f>
        <v>multiple</v>
      </c>
      <c r="M313" s="8">
        <f>IFERROR(__xludf.DUMMYFUNCTION("""COMPUTED_VALUE"""),1.0)</f>
        <v>1</v>
      </c>
      <c r="N313" s="8">
        <f>IFERROR(__xludf.DUMMYFUNCTION("""COMPUTED_VALUE"""),1.0)</f>
        <v>1</v>
      </c>
      <c r="O313" s="8"/>
      <c r="P313" s="8"/>
      <c r="Q313" s="8"/>
      <c r="R313" s="8"/>
      <c r="S313" s="8"/>
      <c r="T313" s="8"/>
      <c r="U313" s="8"/>
      <c r="V313" s="8"/>
      <c r="W313" s="8"/>
      <c r="X313" s="8"/>
      <c r="Y313" s="8"/>
      <c r="Z313" s="8"/>
    </row>
    <row r="314">
      <c r="A314" s="8">
        <f>IFERROR(__xludf.DUMMYFUNCTION("""COMPUTED_VALUE"""),645.0)</f>
        <v>645</v>
      </c>
      <c r="B314" s="8" t="str">
        <f>IFERROR(__xludf.DUMMYFUNCTION("""COMPUTED_VALUE"""),"perennial")</f>
        <v>perennial</v>
      </c>
      <c r="C314" s="8" t="str">
        <f>IFERROR(__xludf.DUMMYFUNCTION("""COMPUTED_VALUE"""),"cutting")</f>
        <v>cutting</v>
      </c>
      <c r="D314" s="55" t="str">
        <f>IFERROR(__xludf.DUMMYFUNCTION("""COMPUTED_VALUE"""),"Hylocereus polyrhizus")</f>
        <v>Hylocereus polyrhizus</v>
      </c>
      <c r="E314" s="8" t="str">
        <f>IFERROR(__xludf.DUMMYFUNCTION("""COMPUTED_VALUE"""),"Purple Haze")</f>
        <v>Purple Haze</v>
      </c>
      <c r="F314" s="8" t="str">
        <f>IFERROR(__xludf.DUMMYFUNCTION("""COMPUTED_VALUE"""),"Dragon Fruit")</f>
        <v>Dragon Fruit</v>
      </c>
      <c r="G314" s="8" t="str">
        <f>IFERROR(__xludf.DUMMYFUNCTION("""COMPUTED_VALUE"""),"Fruit du dragon")</f>
        <v>Fruit du dragon</v>
      </c>
      <c r="H314" s="8" t="str">
        <f>IFERROR(__xludf.DUMMYFUNCTION("""COMPUTED_VALUE"""),"Dragon Fruit")</f>
        <v>Dragon Fruit</v>
      </c>
      <c r="I314" s="8" t="str">
        <f>IFERROR(__xludf.DUMMYFUNCTION("""COMPUTED_VALUE"""),"D06")</f>
        <v>D06</v>
      </c>
      <c r="J314" s="8"/>
      <c r="K314" s="8"/>
      <c r="L314" s="8" t="str">
        <f>IFERROR(__xludf.DUMMYFUNCTION("""COMPUTED_VALUE"""),"multiple")</f>
        <v>multiple</v>
      </c>
      <c r="M314" s="8">
        <f>IFERROR(__xludf.DUMMYFUNCTION("""COMPUTED_VALUE"""),5.0)</f>
        <v>5</v>
      </c>
      <c r="N314" s="8">
        <f>IFERROR(__xludf.DUMMYFUNCTION("""COMPUTED_VALUE"""),5.0)</f>
        <v>5</v>
      </c>
      <c r="O314" s="8"/>
      <c r="P314" s="8"/>
      <c r="Q314" s="8"/>
      <c r="R314" s="8"/>
      <c r="S314" s="8"/>
      <c r="T314" s="8"/>
      <c r="U314" s="8"/>
      <c r="V314" s="8"/>
      <c r="W314" s="8"/>
      <c r="X314" s="8"/>
      <c r="Y314" s="8"/>
      <c r="Z314" s="8"/>
    </row>
    <row r="315">
      <c r="A315" s="8">
        <f>IFERROR(__xludf.DUMMYFUNCTION("""COMPUTED_VALUE"""),646.0)</f>
        <v>646</v>
      </c>
      <c r="B315" s="8" t="str">
        <f>IFERROR(__xludf.DUMMYFUNCTION("""COMPUTED_VALUE"""),"tree")</f>
        <v>tree</v>
      </c>
      <c r="C315" s="8" t="str">
        <f>IFERROR(__xludf.DUMMYFUNCTION("""COMPUTED_VALUE"""),"graft")</f>
        <v>graft</v>
      </c>
      <c r="D315" s="55" t="str">
        <f>IFERROR(__xludf.DUMMYFUNCTION("""COMPUTED_VALUE"""),"Pouteria campechiana")</f>
        <v>Pouteria campechiana</v>
      </c>
      <c r="E315" s="8" t="str">
        <f>IFERROR(__xludf.DUMMYFUNCTION("""COMPUTED_VALUE"""),"Seedling")</f>
        <v>Seedling</v>
      </c>
      <c r="F315" s="8" t="str">
        <f>IFERROR(__xludf.DUMMYFUNCTION("""COMPUTED_VALUE"""),"Canistel")</f>
        <v>Canistel</v>
      </c>
      <c r="G315" s="8" t="str">
        <f>IFERROR(__xludf.DUMMYFUNCTION("""COMPUTED_VALUE"""),"Canistel")</f>
        <v>Canistel</v>
      </c>
      <c r="H315" s="8" t="str">
        <f>IFERROR(__xludf.DUMMYFUNCTION("""COMPUTED_VALUE"""),"seed")</f>
        <v>seed</v>
      </c>
      <c r="I315" s="8" t="str">
        <f>IFERROR(__xludf.DUMMYFUNCTION("""COMPUTED_VALUE"""),"154")</f>
        <v>154</v>
      </c>
      <c r="J315" s="8"/>
      <c r="K315" s="8"/>
      <c r="L315" s="8" t="str">
        <f>IFERROR(__xludf.DUMMYFUNCTION("""COMPUTED_VALUE"""),"multiple")</f>
        <v>multiple</v>
      </c>
      <c r="M315" s="8">
        <f>IFERROR(__xludf.DUMMYFUNCTION("""COMPUTED_VALUE"""),4.0)</f>
        <v>4</v>
      </c>
      <c r="N315" s="8">
        <f>IFERROR(__xludf.DUMMYFUNCTION("""COMPUTED_VALUE"""),8.0)</f>
        <v>8</v>
      </c>
      <c r="O315" s="8"/>
      <c r="P315" s="8"/>
      <c r="Q315" s="8"/>
      <c r="R315" s="8"/>
      <c r="S315" s="8"/>
      <c r="T315" s="8"/>
      <c r="U315" s="8"/>
      <c r="V315" s="8"/>
      <c r="W315" s="8"/>
      <c r="X315" s="8"/>
      <c r="Y315" s="8"/>
      <c r="Z315" s="8"/>
    </row>
    <row r="316">
      <c r="A316" s="8">
        <f>IFERROR(__xludf.DUMMYFUNCTION("""COMPUTED_VALUE"""),647.0)</f>
        <v>647</v>
      </c>
      <c r="B316" s="8" t="str">
        <f>IFERROR(__xludf.DUMMYFUNCTION("""COMPUTED_VALUE"""),"tree")</f>
        <v>tree</v>
      </c>
      <c r="C316" s="8" t="str">
        <f>IFERROR(__xludf.DUMMYFUNCTION("""COMPUTED_VALUE"""),"seed")</f>
        <v>seed</v>
      </c>
      <c r="D316" s="55" t="str">
        <f>IFERROR(__xludf.DUMMYFUNCTION("""COMPUTED_VALUE"""),"Inga edulis")</f>
        <v>Inga edulis</v>
      </c>
      <c r="E316" s="8"/>
      <c r="F316" s="8" t="str">
        <f>IFERROR(__xludf.DUMMYFUNCTION("""COMPUTED_VALUE"""),"Inga Edulis")</f>
        <v>Inga Edulis</v>
      </c>
      <c r="G316" s="8" t="str">
        <f>IFERROR(__xludf.DUMMYFUNCTION("""COMPUTED_VALUE"""),"Haricots glacés")</f>
        <v>Haricots glacés</v>
      </c>
      <c r="H316" s="8" t="str">
        <f>IFERROR(__xludf.DUMMYFUNCTION("""COMPUTED_VALUE"""),"Ice Cream Bean")</f>
        <v>Ice Cream Bean</v>
      </c>
      <c r="I316" s="8" t="str">
        <f>IFERROR(__xludf.DUMMYFUNCTION("""COMPUTED_VALUE"""),"124")</f>
        <v>124</v>
      </c>
      <c r="J316" s="8"/>
      <c r="K316" s="8">
        <f>IFERROR(__xludf.DUMMYFUNCTION("""COMPUTED_VALUE"""),663.0)</f>
        <v>663</v>
      </c>
      <c r="L316" s="8" t="str">
        <f>IFERROR(__xludf.DUMMYFUNCTION("""COMPUTED_VALUE"""),"multiple")</f>
        <v>multiple</v>
      </c>
      <c r="M316" s="8"/>
      <c r="N316" s="8"/>
      <c r="O316" s="8"/>
      <c r="P316" s="8"/>
      <c r="Q316" s="8"/>
      <c r="R316" s="8"/>
      <c r="S316" s="8"/>
      <c r="T316" s="8"/>
      <c r="U316" s="8"/>
      <c r="V316" s="8"/>
      <c r="W316" s="8"/>
      <c r="X316" s="8"/>
      <c r="Y316" s="8"/>
      <c r="Z316" s="8"/>
    </row>
    <row r="317">
      <c r="A317" s="8">
        <f>IFERROR(__xludf.DUMMYFUNCTION("""COMPUTED_VALUE"""),648.0)</f>
        <v>648</v>
      </c>
      <c r="B317" s="8" t="str">
        <f>IFERROR(__xludf.DUMMYFUNCTION("""COMPUTED_VALUE"""),"tree")</f>
        <v>tree</v>
      </c>
      <c r="C317" s="8" t="str">
        <f>IFERROR(__xludf.DUMMYFUNCTION("""COMPUTED_VALUE"""),"graft")</f>
        <v>graft</v>
      </c>
      <c r="D317" s="8" t="str">
        <f>IFERROR(__xludf.DUMMYFUNCTION("""COMPUTED_VALUE"""),"Annona cherimola")</f>
        <v>Annona cherimola</v>
      </c>
      <c r="E317" s="8" t="str">
        <f>IFERROR(__xludf.DUMMYFUNCTION("""COMPUTED_VALUE"""),"Seedling")</f>
        <v>Seedling</v>
      </c>
      <c r="F317" s="8" t="str">
        <f>IFERROR(__xludf.DUMMYFUNCTION("""COMPUTED_VALUE"""),"Cherimoya")</f>
        <v>Cherimoya</v>
      </c>
      <c r="G317" s="8" t="str">
        <f>IFERROR(__xludf.DUMMYFUNCTION("""COMPUTED_VALUE"""),"Chérimole")</f>
        <v>Chérimole</v>
      </c>
      <c r="H317" s="8" t="str">
        <f>IFERROR(__xludf.DUMMYFUNCTION("""COMPUTED_VALUE"""),"seed")</f>
        <v>seed</v>
      </c>
      <c r="I317" s="8" t="str">
        <f>IFERROR(__xludf.DUMMYFUNCTION("""COMPUTED_VALUE"""),"104A")</f>
        <v>104A</v>
      </c>
      <c r="J317" s="8"/>
      <c r="K317" s="8"/>
      <c r="L317" s="8" t="str">
        <f>IFERROR(__xludf.DUMMYFUNCTION("""COMPUTED_VALUE"""),"multiple")</f>
        <v>multiple</v>
      </c>
      <c r="M317" s="8">
        <f>IFERROR(__xludf.DUMMYFUNCTION("""COMPUTED_VALUE"""),4.0)</f>
        <v>4</v>
      </c>
      <c r="N317" s="8">
        <f>IFERROR(__xludf.DUMMYFUNCTION("""COMPUTED_VALUE"""),10.0)</f>
        <v>10</v>
      </c>
      <c r="O317" s="8"/>
      <c r="P317" s="8"/>
      <c r="Q317" s="8"/>
      <c r="R317" s="8"/>
      <c r="S317" s="8"/>
      <c r="T317" s="8"/>
      <c r="U317" s="8"/>
      <c r="V317" s="8"/>
      <c r="W317" s="8"/>
      <c r="X317" s="8"/>
      <c r="Y317" s="8"/>
      <c r="Z317" s="8"/>
    </row>
    <row r="318">
      <c r="A318" s="8">
        <f>IFERROR(__xludf.DUMMYFUNCTION("""COMPUTED_VALUE"""),649.0)</f>
        <v>649</v>
      </c>
      <c r="B318" s="8" t="str">
        <f>IFERROR(__xludf.DUMMYFUNCTION("""COMPUTED_VALUE"""),"perennial")</f>
        <v>perennial</v>
      </c>
      <c r="C318" s="8" t="str">
        <f>IFERROR(__xludf.DUMMYFUNCTION("""COMPUTED_VALUE"""),"cutting")</f>
        <v>cutting</v>
      </c>
      <c r="D318" s="55" t="str">
        <f>IFERROR(__xludf.DUMMYFUNCTION("""COMPUTED_VALUE"""),"Hylocereus polyrhizus")</f>
        <v>Hylocereus polyrhizus</v>
      </c>
      <c r="E318" s="8" t="str">
        <f>IFERROR(__xludf.DUMMYFUNCTION("""COMPUTED_VALUE"""),"Rixford")</f>
        <v>Rixford</v>
      </c>
      <c r="F318" s="8" t="str">
        <f>IFERROR(__xludf.DUMMYFUNCTION("""COMPUTED_VALUE"""),"Dragon Fruit")</f>
        <v>Dragon Fruit</v>
      </c>
      <c r="G318" s="8" t="str">
        <f>IFERROR(__xludf.DUMMYFUNCTION("""COMPUTED_VALUE"""),"Fruit du dragon")</f>
        <v>Fruit du dragon</v>
      </c>
      <c r="H318" s="8" t="str">
        <f>IFERROR(__xludf.DUMMYFUNCTION("""COMPUTED_VALUE"""),"Dragon Fruit")</f>
        <v>Dragon Fruit</v>
      </c>
      <c r="I318" s="8" t="str">
        <f>IFERROR(__xludf.DUMMYFUNCTION("""COMPUTED_VALUE"""),"D08")</f>
        <v>D08</v>
      </c>
      <c r="J318" s="8"/>
      <c r="K318" s="8"/>
      <c r="L318" s="8" t="str">
        <f>IFERROR(__xludf.DUMMYFUNCTION("""COMPUTED_VALUE"""),"multiple")</f>
        <v>multiple</v>
      </c>
      <c r="M318" s="8">
        <f>IFERROR(__xludf.DUMMYFUNCTION("""COMPUTED_VALUE"""),6.0)</f>
        <v>6</v>
      </c>
      <c r="N318" s="8">
        <f>IFERROR(__xludf.DUMMYFUNCTION("""COMPUTED_VALUE"""),6.0)</f>
        <v>6</v>
      </c>
      <c r="O318" s="8"/>
      <c r="P318" s="8"/>
      <c r="Q318" s="8"/>
      <c r="R318" s="8"/>
      <c r="S318" s="8"/>
      <c r="T318" s="8"/>
      <c r="U318" s="8"/>
      <c r="V318" s="8"/>
      <c r="W318" s="8"/>
      <c r="X318" s="8"/>
      <c r="Y318" s="8"/>
      <c r="Z318" s="8"/>
    </row>
    <row r="319">
      <c r="A319" s="8">
        <f>IFERROR(__xludf.DUMMYFUNCTION("""COMPUTED_VALUE"""),650.0)</f>
        <v>650</v>
      </c>
      <c r="B319" s="8" t="str">
        <f>IFERROR(__xludf.DUMMYFUNCTION("""COMPUTED_VALUE"""),"perennial")</f>
        <v>perennial</v>
      </c>
      <c r="C319" s="8" t="str">
        <f>IFERROR(__xludf.DUMMYFUNCTION("""COMPUTED_VALUE"""),"cutting")</f>
        <v>cutting</v>
      </c>
      <c r="D319" s="55" t="str">
        <f>IFERROR(__xludf.DUMMYFUNCTION("""COMPUTED_VALUE"""),"Hylocereus polyrhizus")</f>
        <v>Hylocereus polyrhizus</v>
      </c>
      <c r="E319" s="8" t="str">
        <f>IFERROR(__xludf.DUMMYFUNCTION("""COMPUTED_VALUE"""),"Shayna")</f>
        <v>Shayna</v>
      </c>
      <c r="F319" s="8" t="str">
        <f>IFERROR(__xludf.DUMMYFUNCTION("""COMPUTED_VALUE"""),"Dragon Fruit")</f>
        <v>Dragon Fruit</v>
      </c>
      <c r="G319" s="8" t="str">
        <f>IFERROR(__xludf.DUMMYFUNCTION("""COMPUTED_VALUE"""),"Fruit du dragon")</f>
        <v>Fruit du dragon</v>
      </c>
      <c r="H319" s="8" t="str">
        <f>IFERROR(__xludf.DUMMYFUNCTION("""COMPUTED_VALUE"""),"Dragon Fruit")</f>
        <v>Dragon Fruit</v>
      </c>
      <c r="I319" s="8" t="str">
        <f>IFERROR(__xludf.DUMMYFUNCTION("""COMPUTED_VALUE"""),"D07")</f>
        <v>D07</v>
      </c>
      <c r="J319" s="8"/>
      <c r="K319" s="8"/>
      <c r="L319" s="8" t="str">
        <f>IFERROR(__xludf.DUMMYFUNCTION("""COMPUTED_VALUE"""),"multiple")</f>
        <v>multiple</v>
      </c>
      <c r="M319" s="8">
        <f>IFERROR(__xludf.DUMMYFUNCTION("""COMPUTED_VALUE"""),9.0)</f>
        <v>9</v>
      </c>
      <c r="N319" s="8">
        <f>IFERROR(__xludf.DUMMYFUNCTION("""COMPUTED_VALUE"""),9.0)</f>
        <v>9</v>
      </c>
      <c r="O319" s="8"/>
      <c r="P319" s="8"/>
      <c r="Q319" s="8"/>
      <c r="R319" s="8"/>
      <c r="S319" s="8"/>
      <c r="T319" s="8"/>
      <c r="U319" s="8"/>
      <c r="V319" s="8"/>
      <c r="W319" s="8"/>
      <c r="X319" s="8"/>
      <c r="Y319" s="8"/>
      <c r="Z319" s="8"/>
    </row>
    <row r="320">
      <c r="A320" s="8">
        <f>IFERROR(__xludf.DUMMYFUNCTION("""COMPUTED_VALUE"""),651.0)</f>
        <v>651</v>
      </c>
      <c r="B320" s="8" t="str">
        <f>IFERROR(__xludf.DUMMYFUNCTION("""COMPUTED_VALUE"""),"tree")</f>
        <v>tree</v>
      </c>
      <c r="C320" s="8" t="str">
        <f>IFERROR(__xludf.DUMMYFUNCTION("""COMPUTED_VALUE"""),"graft")</f>
        <v>graft</v>
      </c>
      <c r="D320" s="8" t="str">
        <f>IFERROR(__xludf.DUMMYFUNCTION("""COMPUTED_VALUE"""),"Annona cherimola")</f>
        <v>Annona cherimola</v>
      </c>
      <c r="E320" s="8" t="str">
        <f>IFERROR(__xludf.DUMMYFUNCTION("""COMPUTED_VALUE"""),"Seedling")</f>
        <v>Seedling</v>
      </c>
      <c r="F320" s="8" t="str">
        <f>IFERROR(__xludf.DUMMYFUNCTION("""COMPUTED_VALUE"""),"Cherimoya")</f>
        <v>Cherimoya</v>
      </c>
      <c r="G320" s="8" t="str">
        <f>IFERROR(__xludf.DUMMYFUNCTION("""COMPUTED_VALUE"""),"Chérimole")</f>
        <v>Chérimole</v>
      </c>
      <c r="H320" s="8" t="str">
        <f>IFERROR(__xludf.DUMMYFUNCTION("""COMPUTED_VALUE"""),"seed")</f>
        <v>seed</v>
      </c>
      <c r="I320" s="8" t="str">
        <f>IFERROR(__xludf.DUMMYFUNCTION("""COMPUTED_VALUE"""),"105")</f>
        <v>105</v>
      </c>
      <c r="J320" s="8"/>
      <c r="K320" s="8"/>
      <c r="L320" s="8" t="str">
        <f>IFERROR(__xludf.DUMMYFUNCTION("""COMPUTED_VALUE"""),"multiple")</f>
        <v>multiple</v>
      </c>
      <c r="M320" s="8">
        <f>IFERROR(__xludf.DUMMYFUNCTION("""COMPUTED_VALUE"""),4.0)</f>
        <v>4</v>
      </c>
      <c r="N320" s="8">
        <f>IFERROR(__xludf.DUMMYFUNCTION("""COMPUTED_VALUE"""),10.0)</f>
        <v>10</v>
      </c>
      <c r="O320" s="8"/>
      <c r="P320" s="8"/>
      <c r="Q320" s="8"/>
      <c r="R320" s="8"/>
      <c r="S320" s="8"/>
      <c r="T320" s="8"/>
      <c r="U320" s="8"/>
      <c r="V320" s="8"/>
      <c r="W320" s="8"/>
      <c r="X320" s="8"/>
      <c r="Y320" s="8"/>
      <c r="Z320" s="8"/>
    </row>
    <row r="321">
      <c r="A321" s="8">
        <f>IFERROR(__xludf.DUMMYFUNCTION("""COMPUTED_VALUE"""),652.0)</f>
        <v>652</v>
      </c>
      <c r="B321" s="8" t="str">
        <f>IFERROR(__xludf.DUMMYFUNCTION("""COMPUTED_VALUE"""),"perennial")</f>
        <v>perennial</v>
      </c>
      <c r="C321" s="8" t="str">
        <f>IFERROR(__xludf.DUMMYFUNCTION("""COMPUTED_VALUE"""),"cutting")</f>
        <v>cutting</v>
      </c>
      <c r="D321" s="55" t="str">
        <f>IFERROR(__xludf.DUMMYFUNCTION("""COMPUTED_VALUE"""),"Hylocereus polyrhizus")</f>
        <v>Hylocereus polyrhizus</v>
      </c>
      <c r="E321" s="8" t="str">
        <f>IFERROR(__xludf.DUMMYFUNCTION("""COMPUTED_VALUE"""),"Voodoo Child")</f>
        <v>Voodoo Child</v>
      </c>
      <c r="F321" s="8" t="str">
        <f>IFERROR(__xludf.DUMMYFUNCTION("""COMPUTED_VALUE"""),"Dragon Fruit")</f>
        <v>Dragon Fruit</v>
      </c>
      <c r="G321" s="8" t="str">
        <f>IFERROR(__xludf.DUMMYFUNCTION("""COMPUTED_VALUE"""),"Fruit du dragon")</f>
        <v>Fruit du dragon</v>
      </c>
      <c r="H321" s="8" t="str">
        <f>IFERROR(__xludf.DUMMYFUNCTION("""COMPUTED_VALUE"""),"Dragon Fruit")</f>
        <v>Dragon Fruit</v>
      </c>
      <c r="I321" s="8" t="str">
        <f>IFERROR(__xludf.DUMMYFUNCTION("""COMPUTED_VALUE"""),"D05")</f>
        <v>D05</v>
      </c>
      <c r="J321" s="8"/>
      <c r="K321" s="8"/>
      <c r="L321" s="8" t="str">
        <f>IFERROR(__xludf.DUMMYFUNCTION("""COMPUTED_VALUE"""),"multiple")</f>
        <v>multiple</v>
      </c>
      <c r="M321" s="8">
        <f>IFERROR(__xludf.DUMMYFUNCTION("""COMPUTED_VALUE"""),12.0)</f>
        <v>12</v>
      </c>
      <c r="N321" s="8">
        <f>IFERROR(__xludf.DUMMYFUNCTION("""COMPUTED_VALUE"""),12.0)</f>
        <v>12</v>
      </c>
      <c r="O321" s="8"/>
      <c r="P321" s="8"/>
      <c r="Q321" s="8"/>
      <c r="R321" s="8"/>
      <c r="S321" s="8"/>
      <c r="T321" s="8"/>
      <c r="U321" s="8"/>
      <c r="V321" s="8"/>
      <c r="W321" s="8"/>
      <c r="X321" s="8"/>
      <c r="Y321" s="8"/>
      <c r="Z321" s="8"/>
    </row>
    <row r="322">
      <c r="A322" s="8">
        <f>IFERROR(__xludf.DUMMYFUNCTION("""COMPUTED_VALUE"""),653.0)</f>
        <v>653</v>
      </c>
      <c r="B322" s="8" t="str">
        <f>IFERROR(__xludf.DUMMYFUNCTION("""COMPUTED_VALUE"""),"perennial")</f>
        <v>perennial</v>
      </c>
      <c r="C322" s="8" t="str">
        <f>IFERROR(__xludf.DUMMYFUNCTION("""COMPUTED_VALUE"""),"cutting")</f>
        <v>cutting</v>
      </c>
      <c r="D322" s="55" t="str">
        <f>IFERROR(__xludf.DUMMYFUNCTION("""COMPUTED_VALUE"""),"Hylocereus polyrhizus")</f>
        <v>Hylocereus polyrhizus</v>
      </c>
      <c r="E322" s="8" t="str">
        <f>IFERROR(__xludf.DUMMYFUNCTION("""COMPUTED_VALUE"""),"White Vietnamese")</f>
        <v>White Vietnamese</v>
      </c>
      <c r="F322" s="8" t="str">
        <f>IFERROR(__xludf.DUMMYFUNCTION("""COMPUTED_VALUE"""),"Dragon Fruit")</f>
        <v>Dragon Fruit</v>
      </c>
      <c r="G322" s="8" t="str">
        <f>IFERROR(__xludf.DUMMYFUNCTION("""COMPUTED_VALUE"""),"Fruit du dragon")</f>
        <v>Fruit du dragon</v>
      </c>
      <c r="H322" s="8" t="str">
        <f>IFERROR(__xludf.DUMMYFUNCTION("""COMPUTED_VALUE"""),"Dragon Fruit")</f>
        <v>Dragon Fruit</v>
      </c>
      <c r="I322" s="8" t="str">
        <f>IFERROR(__xludf.DUMMYFUNCTION("""COMPUTED_VALUE"""),"D16")</f>
        <v>D16</v>
      </c>
      <c r="J322" s="8"/>
      <c r="K322" s="8"/>
      <c r="L322" s="8" t="str">
        <f>IFERROR(__xludf.DUMMYFUNCTION("""COMPUTED_VALUE"""),"multiple")</f>
        <v>multiple</v>
      </c>
      <c r="M322" s="8">
        <f>IFERROR(__xludf.DUMMYFUNCTION("""COMPUTED_VALUE"""),1.0)</f>
        <v>1</v>
      </c>
      <c r="N322" s="8">
        <f>IFERROR(__xludf.DUMMYFUNCTION("""COMPUTED_VALUE"""),1.0)</f>
        <v>1</v>
      </c>
      <c r="O322" s="8"/>
      <c r="P322" s="8"/>
      <c r="Q322" s="8"/>
      <c r="R322" s="8"/>
      <c r="S322" s="8"/>
      <c r="T322" s="8"/>
      <c r="U322" s="8"/>
      <c r="V322" s="8"/>
      <c r="W322" s="8"/>
      <c r="X322" s="8"/>
      <c r="Y322" s="8"/>
      <c r="Z322" s="8"/>
    </row>
    <row r="323">
      <c r="A323" s="8">
        <f>IFERROR(__xludf.DUMMYFUNCTION("""COMPUTED_VALUE"""),654.0)</f>
        <v>654</v>
      </c>
      <c r="B323" s="8" t="str">
        <f>IFERROR(__xludf.DUMMYFUNCTION("""COMPUTED_VALUE"""),"tree")</f>
        <v>tree</v>
      </c>
      <c r="C323" s="8" t="str">
        <f>IFERROR(__xludf.DUMMYFUNCTION("""COMPUTED_VALUE"""),"air_layer")</f>
        <v>air_layer</v>
      </c>
      <c r="D323" s="55" t="str">
        <f>IFERROR(__xludf.DUMMYFUNCTION("""COMPUTED_VALUE"""),"Dimocarpus longan")</f>
        <v>Dimocarpus longan</v>
      </c>
      <c r="E323" s="8" t="str">
        <f>IFERROR(__xludf.DUMMYFUNCTION("""COMPUTED_VALUE"""),"Kohala")</f>
        <v>Kohala</v>
      </c>
      <c r="F323" s="8" t="str">
        <f>IFERROR(__xludf.DUMMYFUNCTION("""COMPUTED_VALUE"""),"Longan")</f>
        <v>Longan</v>
      </c>
      <c r="G323" s="8" t="str">
        <f>IFERROR(__xludf.DUMMYFUNCTION("""COMPUTED_VALUE"""),"Longane")</f>
        <v>Longane</v>
      </c>
      <c r="H323" s="8" t="str">
        <f>IFERROR(__xludf.DUMMYFUNCTION("""COMPUTED_VALUE"""),"Longan")</f>
        <v>Longan</v>
      </c>
      <c r="I323" s="8" t="str">
        <f>IFERROR(__xludf.DUMMYFUNCTION("""COMPUTED_VALUE"""),"112")</f>
        <v>112</v>
      </c>
      <c r="J323" s="8"/>
      <c r="K323" s="8"/>
      <c r="L323" s="8">
        <f>IFERROR(__xludf.DUMMYFUNCTION("""COMPUTED_VALUE"""),1.0)</f>
        <v>1</v>
      </c>
      <c r="M323" s="8">
        <f>IFERROR(__xludf.DUMMYFUNCTION("""COMPUTED_VALUE"""),2.0)</f>
        <v>2</v>
      </c>
      <c r="N323" s="8">
        <f>IFERROR(__xludf.DUMMYFUNCTION("""COMPUTED_VALUE"""),2.0)</f>
        <v>2</v>
      </c>
      <c r="O323" s="8"/>
      <c r="P323" s="8"/>
      <c r="Q323" s="8"/>
      <c r="R323" s="8"/>
      <c r="S323" s="8"/>
      <c r="T323" s="8"/>
      <c r="U323" s="8"/>
      <c r="V323" s="8"/>
      <c r="W323" s="8"/>
      <c r="X323" s="8"/>
      <c r="Y323" s="8"/>
      <c r="Z323" s="8"/>
    </row>
    <row r="324">
      <c r="A324" s="8">
        <f>IFERROR(__xludf.DUMMYFUNCTION("""COMPUTED_VALUE"""),655.0)</f>
        <v>655</v>
      </c>
      <c r="B324" s="8" t="str">
        <f>IFERROR(__xludf.DUMMYFUNCTION("""COMPUTED_VALUE"""),"tree")</f>
        <v>tree</v>
      </c>
      <c r="C324" s="8" t="str">
        <f>IFERROR(__xludf.DUMMYFUNCTION("""COMPUTED_VALUE"""),"graft")</f>
        <v>graft</v>
      </c>
      <c r="D324" s="55" t="str">
        <f>IFERROR(__xludf.DUMMYFUNCTION("""COMPUTED_VALUE"""),"Chrysophyllum cainito")</f>
        <v>Chrysophyllum cainito</v>
      </c>
      <c r="E324" s="8" t="str">
        <f>IFERROR(__xludf.DUMMYFUNCTION("""COMPUTED_VALUE"""),"Lara-Morado")</f>
        <v>Lara-Morado</v>
      </c>
      <c r="F324" s="8" t="str">
        <f>IFERROR(__xludf.DUMMYFUNCTION("""COMPUTED_VALUE"""),"Caimito")</f>
        <v>Caimito</v>
      </c>
      <c r="G324" s="8" t="str">
        <f>IFERROR(__xludf.DUMMYFUNCTION("""COMPUTED_VALUE"""),"Pomme étoile")</f>
        <v>Pomme étoile</v>
      </c>
      <c r="H324" s="8" t="str">
        <f>IFERROR(__xludf.DUMMYFUNCTION("""COMPUTED_VALUE"""),"Star Apple")</f>
        <v>Star Apple</v>
      </c>
      <c r="I324" s="8" t="str">
        <f>IFERROR(__xludf.DUMMYFUNCTION("""COMPUTED_VALUE"""),"120")</f>
        <v>120</v>
      </c>
      <c r="J324" s="8"/>
      <c r="K324" s="8"/>
      <c r="L324" s="8" t="str">
        <f>IFERROR(__xludf.DUMMYFUNCTION("""COMPUTED_VALUE"""),"multiple")</f>
        <v>multiple</v>
      </c>
      <c r="M324" s="8">
        <f>IFERROR(__xludf.DUMMYFUNCTION("""COMPUTED_VALUE"""),1.0)</f>
        <v>1</v>
      </c>
      <c r="N324" s="8">
        <f>IFERROR(__xludf.DUMMYFUNCTION("""COMPUTED_VALUE"""),1.0)</f>
        <v>1</v>
      </c>
      <c r="O324" s="8"/>
      <c r="P324" s="8"/>
      <c r="Q324" s="8"/>
      <c r="R324" s="8"/>
      <c r="S324" s="8"/>
      <c r="T324" s="8"/>
      <c r="U324" s="8"/>
      <c r="V324" s="8"/>
      <c r="W324" s="8"/>
      <c r="X324" s="8"/>
      <c r="Y324" s="8"/>
      <c r="Z324" s="8"/>
    </row>
    <row r="325">
      <c r="A325" s="8">
        <f>IFERROR(__xludf.DUMMYFUNCTION("""COMPUTED_VALUE"""),656.0)</f>
        <v>656</v>
      </c>
      <c r="B325" s="8" t="str">
        <f>IFERROR(__xludf.DUMMYFUNCTION("""COMPUTED_VALUE"""),"tree")</f>
        <v>tree</v>
      </c>
      <c r="C325" s="8" t="str">
        <f>IFERROR(__xludf.DUMMYFUNCTION("""COMPUTED_VALUE"""),"graft")</f>
        <v>graft</v>
      </c>
      <c r="D325" s="8" t="str">
        <f>IFERROR(__xludf.DUMMYFUNCTION("""COMPUTED_VALUE"""),"Annona cherimola")</f>
        <v>Annona cherimola</v>
      </c>
      <c r="E325" s="8" t="str">
        <f>IFERROR(__xludf.DUMMYFUNCTION("""COMPUTED_VALUE"""),"Seedling")</f>
        <v>Seedling</v>
      </c>
      <c r="F325" s="8" t="str">
        <f>IFERROR(__xludf.DUMMYFUNCTION("""COMPUTED_VALUE"""),"Cherimoya")</f>
        <v>Cherimoya</v>
      </c>
      <c r="G325" s="8" t="str">
        <f>IFERROR(__xludf.DUMMYFUNCTION("""COMPUTED_VALUE"""),"Chérimole")</f>
        <v>Chérimole</v>
      </c>
      <c r="H325" s="8" t="str">
        <f>IFERROR(__xludf.DUMMYFUNCTION("""COMPUTED_VALUE"""),"seed")</f>
        <v>seed</v>
      </c>
      <c r="I325" s="8" t="str">
        <f>IFERROR(__xludf.DUMMYFUNCTION("""COMPUTED_VALUE"""),"088A")</f>
        <v>088A</v>
      </c>
      <c r="J325" s="8"/>
      <c r="K325" s="8"/>
      <c r="L325" s="8" t="str">
        <f>IFERROR(__xludf.DUMMYFUNCTION("""COMPUTED_VALUE"""),"multiple")</f>
        <v>multiple</v>
      </c>
      <c r="M325" s="8">
        <f>IFERROR(__xludf.DUMMYFUNCTION("""COMPUTED_VALUE"""),4.0)</f>
        <v>4</v>
      </c>
      <c r="N325" s="8">
        <f>IFERROR(__xludf.DUMMYFUNCTION("""COMPUTED_VALUE"""),10.0)</f>
        <v>10</v>
      </c>
      <c r="O325" s="8"/>
      <c r="P325" s="8"/>
      <c r="Q325" s="8"/>
      <c r="R325" s="8"/>
      <c r="S325" s="8"/>
      <c r="T325" s="8"/>
      <c r="U325" s="8"/>
      <c r="V325" s="8"/>
      <c r="W325" s="8"/>
      <c r="X325" s="8"/>
      <c r="Y325" s="8"/>
      <c r="Z325" s="8"/>
    </row>
    <row r="326">
      <c r="A326" s="8">
        <f>IFERROR(__xludf.DUMMYFUNCTION("""COMPUTED_VALUE"""),657.0)</f>
        <v>657</v>
      </c>
      <c r="B326" s="8" t="str">
        <f>IFERROR(__xludf.DUMMYFUNCTION("""COMPUTED_VALUE"""),"tree")</f>
        <v>tree</v>
      </c>
      <c r="C326" s="8" t="str">
        <f>IFERROR(__xludf.DUMMYFUNCTION("""COMPUTED_VALUE"""),"cutting")</f>
        <v>cutting</v>
      </c>
      <c r="D326" s="55" t="str">
        <f>IFERROR(__xludf.DUMMYFUNCTION("""COMPUTED_VALUE"""),"Punica granatum")</f>
        <v>Punica granatum</v>
      </c>
      <c r="E326" s="8" t="str">
        <f>IFERROR(__xludf.DUMMYFUNCTION("""COMPUTED_VALUE"""),"Azadi")</f>
        <v>Azadi</v>
      </c>
      <c r="F326" s="8" t="str">
        <f>IFERROR(__xludf.DUMMYFUNCTION("""COMPUTED_VALUE"""),"Pomegranate")</f>
        <v>Pomegranate</v>
      </c>
      <c r="G326" s="8" t="str">
        <f>IFERROR(__xludf.DUMMYFUNCTION("""COMPUTED_VALUE"""),"Grenadier")</f>
        <v>Grenadier</v>
      </c>
      <c r="H326" s="8" t="str">
        <f>IFERROR(__xludf.DUMMYFUNCTION("""COMPUTED_VALUE"""),"Pomegranate")</f>
        <v>Pomegranate</v>
      </c>
      <c r="I326" s="8" t="str">
        <f>IFERROR(__xludf.DUMMYFUNCTION("""COMPUTED_VALUE"""),"P03")</f>
        <v>P03</v>
      </c>
      <c r="J326" s="8"/>
      <c r="K326" s="8"/>
      <c r="L326" s="8" t="str">
        <f>IFERROR(__xludf.DUMMYFUNCTION("""COMPUTED_VALUE"""),"multiple")</f>
        <v>multiple</v>
      </c>
      <c r="M326" s="8">
        <f>IFERROR(__xludf.DUMMYFUNCTION("""COMPUTED_VALUE"""),1.0)</f>
        <v>1</v>
      </c>
      <c r="N326" s="8">
        <f>IFERROR(__xludf.DUMMYFUNCTION("""COMPUTED_VALUE"""),1.0)</f>
        <v>1</v>
      </c>
      <c r="O326" s="8"/>
      <c r="P326" s="8"/>
      <c r="Q326" s="8"/>
      <c r="R326" s="8"/>
      <c r="S326" s="8"/>
      <c r="T326" s="8"/>
      <c r="U326" s="8"/>
      <c r="V326" s="8"/>
      <c r="W326" s="8"/>
      <c r="X326" s="8"/>
      <c r="Y326" s="8"/>
      <c r="Z326" s="8"/>
    </row>
    <row r="327">
      <c r="A327" s="8">
        <f>IFERROR(__xludf.DUMMYFUNCTION("""COMPUTED_VALUE"""),658.0)</f>
        <v>658</v>
      </c>
      <c r="B327" s="8" t="str">
        <f>IFERROR(__xludf.DUMMYFUNCTION("""COMPUTED_VALUE"""),"tree")</f>
        <v>tree</v>
      </c>
      <c r="C327" s="8" t="str">
        <f>IFERROR(__xludf.DUMMYFUNCTION("""COMPUTED_VALUE"""),"cutting")</f>
        <v>cutting</v>
      </c>
      <c r="D327" s="55" t="str">
        <f>IFERROR(__xludf.DUMMYFUNCTION("""COMPUTED_VALUE"""),"Punica granatum")</f>
        <v>Punica granatum</v>
      </c>
      <c r="E327" s="8" t="str">
        <f>IFERROR(__xludf.DUMMYFUNCTION("""COMPUTED_VALUE"""),"Dwarf Red")</f>
        <v>Dwarf Red</v>
      </c>
      <c r="F327" s="8" t="str">
        <f>IFERROR(__xludf.DUMMYFUNCTION("""COMPUTED_VALUE"""),"Pomegranate")</f>
        <v>Pomegranate</v>
      </c>
      <c r="G327" s="8" t="str">
        <f>IFERROR(__xludf.DUMMYFUNCTION("""COMPUTED_VALUE"""),"Grenadier")</f>
        <v>Grenadier</v>
      </c>
      <c r="H327" s="8" t="str">
        <f>IFERROR(__xludf.DUMMYFUNCTION("""COMPUTED_VALUE"""),"Pomegranate")</f>
        <v>Pomegranate</v>
      </c>
      <c r="I327" s="8" t="str">
        <f>IFERROR(__xludf.DUMMYFUNCTION("""COMPUTED_VALUE"""),"P01")</f>
        <v>P01</v>
      </c>
      <c r="J327" s="8"/>
      <c r="K327" s="8"/>
      <c r="L327" s="8" t="str">
        <f>IFERROR(__xludf.DUMMYFUNCTION("""COMPUTED_VALUE"""),"multiple")</f>
        <v>multiple</v>
      </c>
      <c r="M327" s="8">
        <f>IFERROR(__xludf.DUMMYFUNCTION("""COMPUTED_VALUE"""),1.0)</f>
        <v>1</v>
      </c>
      <c r="N327" s="8">
        <f>IFERROR(__xludf.DUMMYFUNCTION("""COMPUTED_VALUE"""),1.0)</f>
        <v>1</v>
      </c>
      <c r="O327" s="8"/>
      <c r="P327" s="8"/>
      <c r="Q327" s="8"/>
      <c r="R327" s="8"/>
      <c r="S327" s="8"/>
      <c r="T327" s="8"/>
      <c r="U327" s="8"/>
      <c r="V327" s="8"/>
      <c r="W327" s="8"/>
      <c r="X327" s="8"/>
      <c r="Y327" s="8"/>
      <c r="Z327" s="8"/>
    </row>
    <row r="328">
      <c r="A328" s="8">
        <f>IFERROR(__xludf.DUMMYFUNCTION("""COMPUTED_VALUE"""),659.0)</f>
        <v>659</v>
      </c>
      <c r="B328" s="8" t="str">
        <f>IFERROR(__xludf.DUMMYFUNCTION("""COMPUTED_VALUE"""),"tree")</f>
        <v>tree</v>
      </c>
      <c r="C328" s="8" t="str">
        <f>IFERROR(__xludf.DUMMYFUNCTION("""COMPUTED_VALUE"""),"cutting")</f>
        <v>cutting</v>
      </c>
      <c r="D328" s="55" t="str">
        <f>IFERROR(__xludf.DUMMYFUNCTION("""COMPUTED_VALUE"""),"Punica granatum")</f>
        <v>Punica granatum</v>
      </c>
      <c r="E328" s="8" t="str">
        <f>IFERROR(__xludf.DUMMYFUNCTION("""COMPUTED_VALUE"""),"Vietnamese Pink")</f>
        <v>Vietnamese Pink</v>
      </c>
      <c r="F328" s="8" t="str">
        <f>IFERROR(__xludf.DUMMYFUNCTION("""COMPUTED_VALUE"""),"Pomegranate")</f>
        <v>Pomegranate</v>
      </c>
      <c r="G328" s="8" t="str">
        <f>IFERROR(__xludf.DUMMYFUNCTION("""COMPUTED_VALUE"""),"Grenadier")</f>
        <v>Grenadier</v>
      </c>
      <c r="H328" s="8" t="str">
        <f>IFERROR(__xludf.DUMMYFUNCTION("""COMPUTED_VALUE"""),"Pomegranate")</f>
        <v>Pomegranate</v>
      </c>
      <c r="I328" s="8" t="str">
        <f>IFERROR(__xludf.DUMMYFUNCTION("""COMPUTED_VALUE"""),"P05")</f>
        <v>P05</v>
      </c>
      <c r="J328" s="8"/>
      <c r="K328" s="8"/>
      <c r="L328" s="8" t="str">
        <f>IFERROR(__xludf.DUMMYFUNCTION("""COMPUTED_VALUE"""),"multiple")</f>
        <v>multiple</v>
      </c>
      <c r="M328" s="8">
        <f>IFERROR(__xludf.DUMMYFUNCTION("""COMPUTED_VALUE"""),1.0)</f>
        <v>1</v>
      </c>
      <c r="N328" s="8">
        <f>IFERROR(__xludf.DUMMYFUNCTION("""COMPUTED_VALUE"""),1.0)</f>
        <v>1</v>
      </c>
      <c r="O328" s="8"/>
      <c r="P328" s="8"/>
      <c r="Q328" s="8"/>
      <c r="R328" s="8"/>
      <c r="S328" s="8"/>
      <c r="T328" s="8"/>
      <c r="U328" s="8"/>
      <c r="V328" s="8"/>
      <c r="W328" s="8"/>
      <c r="X328" s="8"/>
      <c r="Y328" s="8"/>
      <c r="Z328" s="8"/>
    </row>
    <row r="329">
      <c r="A329" s="8">
        <f>IFERROR(__xludf.DUMMYFUNCTION("""COMPUTED_VALUE"""),660.0)</f>
        <v>660</v>
      </c>
      <c r="B329" s="8" t="str">
        <f>IFERROR(__xludf.DUMMYFUNCTION("""COMPUTED_VALUE"""),"tree")</f>
        <v>tree</v>
      </c>
      <c r="C329" s="8" t="str">
        <f>IFERROR(__xludf.DUMMYFUNCTION("""COMPUTED_VALUE"""),"cutting")</f>
        <v>cutting</v>
      </c>
      <c r="D329" s="55" t="str">
        <f>IFERROR(__xludf.DUMMYFUNCTION("""COMPUTED_VALUE"""),"Punica granatum")</f>
        <v>Punica granatum</v>
      </c>
      <c r="E329" s="8" t="str">
        <f>IFERROR(__xludf.DUMMYFUNCTION("""COMPUTED_VALUE"""),"Salavatski")</f>
        <v>Salavatski</v>
      </c>
      <c r="F329" s="8" t="str">
        <f>IFERROR(__xludf.DUMMYFUNCTION("""COMPUTED_VALUE"""),"Pomegranate")</f>
        <v>Pomegranate</v>
      </c>
      <c r="G329" s="8" t="str">
        <f>IFERROR(__xludf.DUMMYFUNCTION("""COMPUTED_VALUE"""),"Grenadier")</f>
        <v>Grenadier</v>
      </c>
      <c r="H329" s="8" t="str">
        <f>IFERROR(__xludf.DUMMYFUNCTION("""COMPUTED_VALUE"""),"Pomegranate")</f>
        <v>Pomegranate</v>
      </c>
      <c r="I329" s="8" t="str">
        <f>IFERROR(__xludf.DUMMYFUNCTION("""COMPUTED_VALUE"""),"P09")</f>
        <v>P09</v>
      </c>
      <c r="J329" s="8"/>
      <c r="K329" s="8"/>
      <c r="L329" s="8" t="str">
        <f>IFERROR(__xludf.DUMMYFUNCTION("""COMPUTED_VALUE"""),"multiple")</f>
        <v>multiple</v>
      </c>
      <c r="M329" s="8">
        <f>IFERROR(__xludf.DUMMYFUNCTION("""COMPUTED_VALUE"""),1.0)</f>
        <v>1</v>
      </c>
      <c r="N329" s="8">
        <f>IFERROR(__xludf.DUMMYFUNCTION("""COMPUTED_VALUE"""),1.0)</f>
        <v>1</v>
      </c>
      <c r="O329" s="8"/>
      <c r="P329" s="8"/>
      <c r="Q329" s="8"/>
      <c r="R329" s="8"/>
      <c r="S329" s="8"/>
      <c r="T329" s="8"/>
      <c r="U329" s="8"/>
      <c r="V329" s="8"/>
      <c r="W329" s="8"/>
      <c r="X329" s="8"/>
      <c r="Y329" s="8"/>
      <c r="Z329" s="8"/>
    </row>
    <row r="330">
      <c r="A330" s="8">
        <f>IFERROR(__xludf.DUMMYFUNCTION("""COMPUTED_VALUE"""),661.0)</f>
        <v>661</v>
      </c>
      <c r="B330" s="8" t="str">
        <f>IFERROR(__xludf.DUMMYFUNCTION("""COMPUTED_VALUE"""),"tree")</f>
        <v>tree</v>
      </c>
      <c r="C330" s="8" t="str">
        <f>IFERROR(__xludf.DUMMYFUNCTION("""COMPUTED_VALUE"""),"graft")</f>
        <v>graft</v>
      </c>
      <c r="D330" s="55" t="str">
        <f>IFERROR(__xludf.DUMMYFUNCTION("""COMPUTED_VALUE"""),"Averrhoa carambola")</f>
        <v>Averrhoa carambola</v>
      </c>
      <c r="E330" s="8" t="str">
        <f>IFERROR(__xludf.DUMMYFUNCTION("""COMPUTED_VALUE"""),"Arkin")</f>
        <v>Arkin</v>
      </c>
      <c r="F330" s="8" t="str">
        <f>IFERROR(__xludf.DUMMYFUNCTION("""COMPUTED_VALUE"""),"Carambola")</f>
        <v>Carambola</v>
      </c>
      <c r="G330" s="8" t="str">
        <f>IFERROR(__xludf.DUMMYFUNCTION("""COMPUTED_VALUE"""),"Carambolier")</f>
        <v>Carambolier</v>
      </c>
      <c r="H330" s="8" t="str">
        <f>IFERROR(__xludf.DUMMYFUNCTION("""COMPUTED_VALUE"""),"Star Fruit")</f>
        <v>Star Fruit</v>
      </c>
      <c r="I330" s="8" t="str">
        <f>IFERROR(__xludf.DUMMYFUNCTION("""COMPUTED_VALUE"""),"090")</f>
        <v>090</v>
      </c>
      <c r="J330" s="8"/>
      <c r="K330" s="8"/>
      <c r="L330" s="8" t="str">
        <f>IFERROR(__xludf.DUMMYFUNCTION("""COMPUTED_VALUE"""),"multiple")</f>
        <v>multiple</v>
      </c>
      <c r="M330" s="8">
        <f>IFERROR(__xludf.DUMMYFUNCTION("""COMPUTED_VALUE"""),1.0)</f>
        <v>1</v>
      </c>
      <c r="N330" s="8">
        <f>IFERROR(__xludf.DUMMYFUNCTION("""COMPUTED_VALUE"""),1.0)</f>
        <v>1</v>
      </c>
      <c r="O330" s="8"/>
      <c r="P330" s="8"/>
      <c r="Q330" s="8"/>
      <c r="R330" s="8"/>
      <c r="S330" s="8"/>
      <c r="T330" s="8"/>
      <c r="U330" s="8"/>
      <c r="V330" s="8"/>
      <c r="W330" s="8"/>
      <c r="X330" s="8"/>
      <c r="Y330" s="8"/>
      <c r="Z330" s="8"/>
    </row>
    <row r="331">
      <c r="A331" s="8">
        <f>IFERROR(__xludf.DUMMYFUNCTION("""COMPUTED_VALUE"""),662.0)</f>
        <v>662</v>
      </c>
      <c r="B331" s="8" t="str">
        <f>IFERROR(__xludf.DUMMYFUNCTION("""COMPUTED_VALUE"""),"tree")</f>
        <v>tree</v>
      </c>
      <c r="C331" s="8" t="str">
        <f>IFERROR(__xludf.DUMMYFUNCTION("""COMPUTED_VALUE"""),"graft")</f>
        <v>graft</v>
      </c>
      <c r="D331" s="55" t="str">
        <f>IFERROR(__xludf.DUMMYFUNCTION("""COMPUTED_VALUE"""),"Averrhoa carambola")</f>
        <v>Averrhoa carambola</v>
      </c>
      <c r="E331" s="8" t="str">
        <f>IFERROR(__xludf.DUMMYFUNCTION("""COMPUTED_VALUE"""),"Kary")</f>
        <v>Kary</v>
      </c>
      <c r="F331" s="8" t="str">
        <f>IFERROR(__xludf.DUMMYFUNCTION("""COMPUTED_VALUE"""),"Carambola")</f>
        <v>Carambola</v>
      </c>
      <c r="G331" s="8" t="str">
        <f>IFERROR(__xludf.DUMMYFUNCTION("""COMPUTED_VALUE"""),"Carambolier")</f>
        <v>Carambolier</v>
      </c>
      <c r="H331" s="8" t="str">
        <f>IFERROR(__xludf.DUMMYFUNCTION("""COMPUTED_VALUE"""),"Star Fruit")</f>
        <v>Star Fruit</v>
      </c>
      <c r="I331" s="8" t="str">
        <f>IFERROR(__xludf.DUMMYFUNCTION("""COMPUTED_VALUE"""),"104")</f>
        <v>104</v>
      </c>
      <c r="J331" s="8"/>
      <c r="K331" s="8"/>
      <c r="L331" s="8" t="str">
        <f>IFERROR(__xludf.DUMMYFUNCTION("""COMPUTED_VALUE"""),"multiple")</f>
        <v>multiple</v>
      </c>
      <c r="M331" s="8">
        <f>IFERROR(__xludf.DUMMYFUNCTION("""COMPUTED_VALUE"""),1.0)</f>
        <v>1</v>
      </c>
      <c r="N331" s="8">
        <f>IFERROR(__xludf.DUMMYFUNCTION("""COMPUTED_VALUE"""),1.0)</f>
        <v>1</v>
      </c>
      <c r="O331" s="8"/>
      <c r="P331" s="8"/>
      <c r="Q331" s="8"/>
      <c r="R331" s="8"/>
      <c r="S331" s="8"/>
      <c r="T331" s="8"/>
      <c r="U331" s="8"/>
      <c r="V331" s="8"/>
      <c r="W331" s="8"/>
      <c r="X331" s="8"/>
      <c r="Y331" s="8"/>
      <c r="Z331" s="8"/>
    </row>
    <row r="332">
      <c r="A332" s="8">
        <f>IFERROR(__xludf.DUMMYFUNCTION("""COMPUTED_VALUE"""),663.0)</f>
        <v>663</v>
      </c>
      <c r="B332" s="8" t="str">
        <f>IFERROR(__xludf.DUMMYFUNCTION("""COMPUTED_VALUE"""),"perennial")</f>
        <v>perennial</v>
      </c>
      <c r="C332" s="8" t="str">
        <f>IFERROR(__xludf.DUMMYFUNCTION("""COMPUTED_VALUE"""),"cutting, seed")</f>
        <v>cutting, seed</v>
      </c>
      <c r="D332" s="55" t="str">
        <f>IFERROR(__xludf.DUMMYFUNCTION("""COMPUTED_VALUE"""),"Passiflora sp.")</f>
        <v>Passiflora sp.</v>
      </c>
      <c r="E332" s="8" t="str">
        <f>IFERROR(__xludf.DUMMYFUNCTION("""COMPUTED_VALUE"""),"Sweet Sunrise -Yellow")</f>
        <v>Sweet Sunrise -Yellow</v>
      </c>
      <c r="F332" s="8" t="str">
        <f>IFERROR(__xludf.DUMMYFUNCTION("""COMPUTED_VALUE"""),"Yellow Passionfruit")</f>
        <v>Yellow Passionfruit</v>
      </c>
      <c r="G332" s="8" t="str">
        <f>IFERROR(__xludf.DUMMYFUNCTION("""COMPUTED_VALUE"""),"Passiflore")</f>
        <v>Passiflore</v>
      </c>
      <c r="H332" s="8" t="str">
        <f>IFERROR(__xludf.DUMMYFUNCTION("""COMPUTED_VALUE"""),"Passiflora")</f>
        <v>Passiflora</v>
      </c>
      <c r="I332" s="8"/>
      <c r="J332" s="8"/>
      <c r="K332" s="8"/>
      <c r="L332" s="8" t="str">
        <f>IFERROR(__xludf.DUMMYFUNCTION("""COMPUTED_VALUE"""),"multiple")</f>
        <v>multiple</v>
      </c>
      <c r="M332" s="8">
        <f>IFERROR(__xludf.DUMMYFUNCTION("""COMPUTED_VALUE"""),0.0)</f>
        <v>0</v>
      </c>
      <c r="N332" s="8">
        <f>IFERROR(__xludf.DUMMYFUNCTION("""COMPUTED_VALUE"""),1.0)</f>
        <v>1</v>
      </c>
      <c r="O332" s="8"/>
      <c r="P332" s="8"/>
      <c r="Q332" s="8"/>
      <c r="R332" s="8"/>
      <c r="S332" s="8"/>
      <c r="T332" s="8"/>
      <c r="U332" s="8"/>
      <c r="V332" s="8"/>
      <c r="W332" s="8"/>
      <c r="X332" s="8"/>
      <c r="Y332" s="8"/>
      <c r="Z332" s="8"/>
    </row>
    <row r="333">
      <c r="A333" s="8">
        <f>IFERROR(__xludf.DUMMYFUNCTION("""COMPUTED_VALUE"""),664.0)</f>
        <v>664</v>
      </c>
      <c r="B333" s="8" t="str">
        <f>IFERROR(__xludf.DUMMYFUNCTION("""COMPUTED_VALUE"""),"tree")</f>
        <v>tree</v>
      </c>
      <c r="C333" s="8" t="str">
        <f>IFERROR(__xludf.DUMMYFUNCTION("""COMPUTED_VALUE"""),"seed")</f>
        <v>seed</v>
      </c>
      <c r="D333" s="55" t="str">
        <f>IFERROR(__xludf.DUMMYFUNCTION("""COMPUTED_VALUE"""),"Inga edulis")</f>
        <v>Inga edulis</v>
      </c>
      <c r="E333" s="8" t="str">
        <f>IFERROR(__xludf.DUMMYFUNCTION("""COMPUTED_VALUE"""),"Seedling")</f>
        <v>Seedling</v>
      </c>
      <c r="F333" s="8" t="str">
        <f>IFERROR(__xludf.DUMMYFUNCTION("""COMPUTED_VALUE"""),"Inga Edulis")</f>
        <v>Inga Edulis</v>
      </c>
      <c r="G333" s="8" t="str">
        <f>IFERROR(__xludf.DUMMYFUNCTION("""COMPUTED_VALUE"""),"Haricots glacés")</f>
        <v>Haricots glacés</v>
      </c>
      <c r="H333" s="8" t="str">
        <f>IFERROR(__xludf.DUMMYFUNCTION("""COMPUTED_VALUE"""),"Ice Cream Bean")</f>
        <v>Ice Cream Bean</v>
      </c>
      <c r="I333" s="8" t="str">
        <f>IFERROR(__xludf.DUMMYFUNCTION("""COMPUTED_VALUE"""),"151")</f>
        <v>151</v>
      </c>
      <c r="J333" s="8"/>
      <c r="K333" s="8"/>
      <c r="L333" s="8" t="str">
        <f>IFERROR(__xludf.DUMMYFUNCTION("""COMPUTED_VALUE"""),"multiple")</f>
        <v>multiple</v>
      </c>
      <c r="M333" s="8">
        <f>IFERROR(__xludf.DUMMYFUNCTION("""COMPUTED_VALUE"""),2.0)</f>
        <v>2</v>
      </c>
      <c r="N333" s="8">
        <f>IFERROR(__xludf.DUMMYFUNCTION("""COMPUTED_VALUE"""),2.0)</f>
        <v>2</v>
      </c>
      <c r="O333" s="8"/>
      <c r="P333" s="8"/>
      <c r="Q333" s="8"/>
      <c r="R333" s="8"/>
      <c r="S333" s="8"/>
      <c r="T333" s="8"/>
      <c r="U333" s="8"/>
      <c r="V333" s="8"/>
      <c r="W333" s="8"/>
      <c r="X333" s="8"/>
      <c r="Y333" s="8"/>
      <c r="Z333" s="8"/>
    </row>
    <row r="334">
      <c r="A334" s="8">
        <f>IFERROR(__xludf.DUMMYFUNCTION("""COMPUTED_VALUE"""),665.0)</f>
        <v>665</v>
      </c>
      <c r="B334" s="8" t="str">
        <f>IFERROR(__xludf.DUMMYFUNCTION("""COMPUTED_VALUE"""),"tree")</f>
        <v>tree</v>
      </c>
      <c r="C334" s="8" t="str">
        <f>IFERROR(__xludf.DUMMYFUNCTION("""COMPUTED_VALUE"""),"seed")</f>
        <v>seed</v>
      </c>
      <c r="D334" s="55" t="str">
        <f>IFERROR(__xludf.DUMMYFUNCTION("""COMPUTED_VALUE"""),"Inga edulis")</f>
        <v>Inga edulis</v>
      </c>
      <c r="E334" s="8" t="str">
        <f>IFERROR(__xludf.DUMMYFUNCTION("""COMPUTED_VALUE"""),"Seedling")</f>
        <v>Seedling</v>
      </c>
      <c r="F334" s="8" t="str">
        <f>IFERROR(__xludf.DUMMYFUNCTION("""COMPUTED_VALUE"""),"Inga Edulis")</f>
        <v>Inga Edulis</v>
      </c>
      <c r="G334" s="8" t="str">
        <f>IFERROR(__xludf.DUMMYFUNCTION("""COMPUTED_VALUE"""),"Haricots glacés")</f>
        <v>Haricots glacés</v>
      </c>
      <c r="H334" s="8" t="str">
        <f>IFERROR(__xludf.DUMMYFUNCTION("""COMPUTED_VALUE"""),"Ice Cream Bean")</f>
        <v>Ice Cream Bean</v>
      </c>
      <c r="I334" s="8" t="str">
        <f>IFERROR(__xludf.DUMMYFUNCTION("""COMPUTED_VALUE"""),"116")</f>
        <v>116</v>
      </c>
      <c r="J334" s="8"/>
      <c r="K334" s="8"/>
      <c r="L334" s="8" t="str">
        <f>IFERROR(__xludf.DUMMYFUNCTION("""COMPUTED_VALUE"""),"multiple")</f>
        <v>multiple</v>
      </c>
      <c r="M334" s="8">
        <f>IFERROR(__xludf.DUMMYFUNCTION("""COMPUTED_VALUE"""),2.0)</f>
        <v>2</v>
      </c>
      <c r="N334" s="8">
        <f>IFERROR(__xludf.DUMMYFUNCTION("""COMPUTED_VALUE"""),2.0)</f>
        <v>2</v>
      </c>
      <c r="O334" s="8"/>
      <c r="P334" s="8"/>
      <c r="Q334" s="8"/>
      <c r="R334" s="8"/>
      <c r="S334" s="8"/>
      <c r="T334" s="8"/>
      <c r="U334" s="8"/>
      <c r="V334" s="8"/>
      <c r="W334" s="8"/>
      <c r="X334" s="8"/>
      <c r="Y334" s="8"/>
      <c r="Z334" s="8"/>
    </row>
    <row r="335">
      <c r="A335" s="8">
        <f>IFERROR(__xludf.DUMMYFUNCTION("""COMPUTED_VALUE"""),666.0)</f>
        <v>666</v>
      </c>
      <c r="B335" s="8" t="str">
        <f>IFERROR(__xludf.DUMMYFUNCTION("""COMPUTED_VALUE"""),"tree")</f>
        <v>tree</v>
      </c>
      <c r="C335" s="8" t="str">
        <f>IFERROR(__xludf.DUMMYFUNCTION("""COMPUTED_VALUE"""),"graft")</f>
        <v>graft</v>
      </c>
      <c r="D335" s="8" t="str">
        <f>IFERROR(__xludf.DUMMYFUNCTION("""COMPUTED_VALUE"""),"Annona cherimola")</f>
        <v>Annona cherimola</v>
      </c>
      <c r="E335" s="8" t="str">
        <f>IFERROR(__xludf.DUMMYFUNCTION("""COMPUTED_VALUE"""),"Seedling")</f>
        <v>Seedling</v>
      </c>
      <c r="F335" s="8" t="str">
        <f>IFERROR(__xludf.DUMMYFUNCTION("""COMPUTED_VALUE"""),"Cherimoya")</f>
        <v>Cherimoya</v>
      </c>
      <c r="G335" s="8" t="str">
        <f>IFERROR(__xludf.DUMMYFUNCTION("""COMPUTED_VALUE"""),"Chérimole")</f>
        <v>Chérimole</v>
      </c>
      <c r="H335" s="8" t="str">
        <f>IFERROR(__xludf.DUMMYFUNCTION("""COMPUTED_VALUE"""),"seed")</f>
        <v>seed</v>
      </c>
      <c r="I335" s="8" t="str">
        <f>IFERROR(__xludf.DUMMYFUNCTION("""COMPUTED_VALUE"""),"089")</f>
        <v>089</v>
      </c>
      <c r="J335" s="8"/>
      <c r="K335" s="8"/>
      <c r="L335" s="8" t="str">
        <f>IFERROR(__xludf.DUMMYFUNCTION("""COMPUTED_VALUE"""),"multiple")</f>
        <v>multiple</v>
      </c>
      <c r="M335" s="8">
        <f>IFERROR(__xludf.DUMMYFUNCTION("""COMPUTED_VALUE"""),4.0)</f>
        <v>4</v>
      </c>
      <c r="N335" s="8">
        <f>IFERROR(__xludf.DUMMYFUNCTION("""COMPUTED_VALUE"""),10.0)</f>
        <v>10</v>
      </c>
      <c r="O335" s="8"/>
      <c r="P335" s="8"/>
      <c r="Q335" s="8"/>
      <c r="R335" s="8"/>
      <c r="S335" s="8"/>
      <c r="T335" s="8"/>
      <c r="U335" s="8"/>
      <c r="V335" s="8"/>
      <c r="W335" s="8"/>
      <c r="X335" s="8"/>
      <c r="Y335" s="8"/>
      <c r="Z335" s="8"/>
    </row>
    <row r="336">
      <c r="A336" s="8">
        <f>IFERROR(__xludf.DUMMYFUNCTION("""COMPUTED_VALUE"""),667.0)</f>
        <v>667</v>
      </c>
      <c r="B336" s="8" t="str">
        <f>IFERROR(__xludf.DUMMYFUNCTION("""COMPUTED_VALUE"""),"tree")</f>
        <v>tree</v>
      </c>
      <c r="C336" s="8" t="str">
        <f>IFERROR(__xludf.DUMMYFUNCTION("""COMPUTED_VALUE"""),"graft")</f>
        <v>graft</v>
      </c>
      <c r="D336" s="8" t="str">
        <f>IFERROR(__xludf.DUMMYFUNCTION("""COMPUTED_VALUE"""),"Annona cherimola")</f>
        <v>Annona cherimola</v>
      </c>
      <c r="E336" s="8" t="str">
        <f>IFERROR(__xludf.DUMMYFUNCTION("""COMPUTED_VALUE"""),"Seedling")</f>
        <v>Seedling</v>
      </c>
      <c r="F336" s="8" t="str">
        <f>IFERROR(__xludf.DUMMYFUNCTION("""COMPUTED_VALUE"""),"Cherimoya")</f>
        <v>Cherimoya</v>
      </c>
      <c r="G336" s="8" t="str">
        <f>IFERROR(__xludf.DUMMYFUNCTION("""COMPUTED_VALUE"""),"Chérimole")</f>
        <v>Chérimole</v>
      </c>
      <c r="H336" s="8" t="str">
        <f>IFERROR(__xludf.DUMMYFUNCTION("""COMPUTED_VALUE"""),"Cherimoya")</f>
        <v>Cherimoya</v>
      </c>
      <c r="I336" s="8" t="str">
        <f>IFERROR(__xludf.DUMMYFUNCTION("""COMPUTED_VALUE"""),"Plant in 25LBucket")</f>
        <v>Plant in 25LBucket</v>
      </c>
      <c r="J336" s="8"/>
      <c r="K336" s="8"/>
      <c r="L336" s="8" t="str">
        <f>IFERROR(__xludf.DUMMYFUNCTION("""COMPUTED_VALUE"""),"multiple")</f>
        <v>multiple</v>
      </c>
      <c r="M336" s="8">
        <f>IFERROR(__xludf.DUMMYFUNCTION("""COMPUTED_VALUE"""),4.0)</f>
        <v>4</v>
      </c>
      <c r="N336" s="8">
        <f>IFERROR(__xludf.DUMMYFUNCTION("""COMPUTED_VALUE"""),10.0)</f>
        <v>10</v>
      </c>
      <c r="O336" s="8"/>
      <c r="P336" s="8"/>
      <c r="Q336" s="8"/>
      <c r="R336" s="8"/>
      <c r="S336" s="8"/>
      <c r="T336" s="8"/>
      <c r="U336" s="8"/>
      <c r="V336" s="8"/>
      <c r="W336" s="8"/>
      <c r="X336" s="8"/>
      <c r="Y336" s="8"/>
      <c r="Z336" s="8"/>
    </row>
    <row r="337">
      <c r="A337" s="8">
        <f>IFERROR(__xludf.DUMMYFUNCTION("""COMPUTED_VALUE"""),668.0)</f>
        <v>668</v>
      </c>
      <c r="B337" s="8" t="str">
        <f>IFERROR(__xludf.DUMMYFUNCTION("""COMPUTED_VALUE"""),"tree")</f>
        <v>tree</v>
      </c>
      <c r="C337" s="8" t="str">
        <f>IFERROR(__xludf.DUMMYFUNCTION("""COMPUTED_VALUE"""),"cutting, graft")</f>
        <v>cutting, graft</v>
      </c>
      <c r="D337" s="55" t="str">
        <f>IFERROR(__xludf.DUMMYFUNCTION("""COMPUTED_VALUE"""),"Morus sp.")</f>
        <v>Morus sp.</v>
      </c>
      <c r="E337" s="8" t="str">
        <f>IFERROR(__xludf.DUMMYFUNCTION("""COMPUTED_VALUE"""),"Dwarf Everbearing")</f>
        <v>Dwarf Everbearing</v>
      </c>
      <c r="F337" s="8" t="str">
        <f>IFERROR(__xludf.DUMMYFUNCTION("""COMPUTED_VALUE"""),"Mulberry")</f>
        <v>Mulberry</v>
      </c>
      <c r="G337" s="8" t="str">
        <f>IFERROR(__xludf.DUMMYFUNCTION("""COMPUTED_VALUE"""),"Mûre")</f>
        <v>Mûre</v>
      </c>
      <c r="H337" s="8" t="str">
        <f>IFERROR(__xludf.DUMMYFUNCTION("""COMPUTED_VALUE"""),"Mulberry")</f>
        <v>Mulberry</v>
      </c>
      <c r="I337" s="8" t="str">
        <f>IFERROR(__xludf.DUMMYFUNCTION("""COMPUTED_VALUE"""),"029")</f>
        <v>029</v>
      </c>
      <c r="J337" s="8"/>
      <c r="K337" s="8"/>
      <c r="L337" s="8" t="str">
        <f>IFERROR(__xludf.DUMMYFUNCTION("""COMPUTED_VALUE"""),"multiple")</f>
        <v>multiple</v>
      </c>
      <c r="M337" s="8">
        <f>IFERROR(__xludf.DUMMYFUNCTION("""COMPUTED_VALUE"""),1.0)</f>
        <v>1</v>
      </c>
      <c r="N337" s="8">
        <f>IFERROR(__xludf.DUMMYFUNCTION("""COMPUTED_VALUE"""),1.0)</f>
        <v>1</v>
      </c>
      <c r="O337" s="8"/>
      <c r="P337" s="8"/>
      <c r="Q337" s="8"/>
      <c r="R337" s="8"/>
      <c r="S337" s="8"/>
      <c r="T337" s="8"/>
      <c r="U337" s="8"/>
      <c r="V337" s="8"/>
      <c r="W337" s="8"/>
      <c r="X337" s="8"/>
      <c r="Y337" s="8"/>
      <c r="Z337" s="8"/>
    </row>
    <row r="338">
      <c r="A338" s="8">
        <f>IFERROR(__xludf.DUMMYFUNCTION("""COMPUTED_VALUE"""),669.0)</f>
        <v>669</v>
      </c>
      <c r="B338" s="8" t="str">
        <f>IFERROR(__xludf.DUMMYFUNCTION("""COMPUTED_VALUE"""),"perennial")</f>
        <v>perennial</v>
      </c>
      <c r="C338" s="8" t="str">
        <f>IFERROR(__xludf.DUMMYFUNCTION("""COMPUTED_VALUE"""),"cutting")</f>
        <v>cutting</v>
      </c>
      <c r="D338" s="55" t="str">
        <f>IFERROR(__xludf.DUMMYFUNCTION("""COMPUTED_VALUE"""),"Hylocereus polyrhizus")</f>
        <v>Hylocereus polyrhizus</v>
      </c>
      <c r="E338" s="8" t="str">
        <f>IFERROR(__xludf.DUMMYFUNCTION("""COMPUTED_VALUE"""),"Zamorano")</f>
        <v>Zamorano</v>
      </c>
      <c r="F338" s="8" t="str">
        <f>IFERROR(__xludf.DUMMYFUNCTION("""COMPUTED_VALUE"""),"Dragon Fruit")</f>
        <v>Dragon Fruit</v>
      </c>
      <c r="G338" s="8" t="str">
        <f>IFERROR(__xludf.DUMMYFUNCTION("""COMPUTED_VALUE"""),"Fruit du dragon")</f>
        <v>Fruit du dragon</v>
      </c>
      <c r="H338" s="8" t="str">
        <f>IFERROR(__xludf.DUMMYFUNCTION("""COMPUTED_VALUE"""),"Dragon Fruit")</f>
        <v>Dragon Fruit</v>
      </c>
      <c r="I338" s="8" t="str">
        <f>IFERROR(__xludf.DUMMYFUNCTION("""COMPUTED_VALUE"""),"D18")</f>
        <v>D18</v>
      </c>
      <c r="J338" s="8"/>
      <c r="K338" s="8"/>
      <c r="L338" s="8" t="str">
        <f>IFERROR(__xludf.DUMMYFUNCTION("""COMPUTED_VALUE"""),"multiple")</f>
        <v>multiple</v>
      </c>
      <c r="M338" s="8">
        <f>IFERROR(__xludf.DUMMYFUNCTION("""COMPUTED_VALUE"""),7.0)</f>
        <v>7</v>
      </c>
      <c r="N338" s="8">
        <f>IFERROR(__xludf.DUMMYFUNCTION("""COMPUTED_VALUE"""),7.0)</f>
        <v>7</v>
      </c>
      <c r="O338" s="8"/>
      <c r="P338" s="8"/>
      <c r="Q338" s="8"/>
      <c r="R338" s="8"/>
      <c r="S338" s="8"/>
      <c r="T338" s="8"/>
      <c r="U338" s="8"/>
      <c r="V338" s="8"/>
      <c r="W338" s="8"/>
      <c r="X338" s="8"/>
      <c r="Y338" s="8"/>
      <c r="Z338" s="8"/>
    </row>
    <row r="339">
      <c r="A339" s="8">
        <f>IFERROR(__xludf.DUMMYFUNCTION("""COMPUTED_VALUE"""),670.0)</f>
        <v>670</v>
      </c>
      <c r="B339" s="8" t="str">
        <f>IFERROR(__xludf.DUMMYFUNCTION("""COMPUTED_VALUE"""),"tree")</f>
        <v>tree</v>
      </c>
      <c r="C339" s="8" t="str">
        <f>IFERROR(__xludf.DUMMYFUNCTION("""COMPUTED_VALUE"""),"graft")</f>
        <v>graft</v>
      </c>
      <c r="D339" s="55" t="str">
        <f>IFERROR(__xludf.DUMMYFUNCTION("""COMPUTED_VALUE"""),"Mangifera indica")</f>
        <v>Mangifera indica</v>
      </c>
      <c r="E339" s="8" t="str">
        <f>IFERROR(__xludf.DUMMYFUNCTION("""COMPUTED_VALUE"""),"Keint Rond")</f>
        <v>Keint Rond</v>
      </c>
      <c r="F339" s="8" t="str">
        <f>IFERROR(__xludf.DUMMYFUNCTION("""COMPUTED_VALUE"""),"Mango")</f>
        <v>Mango</v>
      </c>
      <c r="G339" s="8" t="str">
        <f>IFERROR(__xludf.DUMMYFUNCTION("""COMPUTED_VALUE"""),"mangue")</f>
        <v>mangue</v>
      </c>
      <c r="H339" s="8" t="str">
        <f>IFERROR(__xludf.DUMMYFUNCTION("""COMPUTED_VALUE"""),"graft")</f>
        <v>graft</v>
      </c>
      <c r="I339" s="8"/>
      <c r="J339" s="8"/>
      <c r="K339" s="8"/>
      <c r="L339" s="8">
        <f>IFERROR(__xludf.DUMMYFUNCTION("""COMPUTED_VALUE"""),1.0)</f>
        <v>1</v>
      </c>
      <c r="M339" s="8">
        <f>IFERROR(__xludf.DUMMYFUNCTION("""COMPUTED_VALUE"""),1.0)</f>
        <v>1</v>
      </c>
      <c r="N339" s="8">
        <f>IFERROR(__xludf.DUMMYFUNCTION("""COMPUTED_VALUE"""),2.0)</f>
        <v>2</v>
      </c>
      <c r="O339" s="8"/>
      <c r="P339" s="8"/>
      <c r="Q339" s="8"/>
      <c r="R339" s="8"/>
      <c r="S339" s="8"/>
      <c r="T339" s="8"/>
      <c r="U339" s="8"/>
      <c r="V339" s="8"/>
      <c r="W339" s="8"/>
      <c r="X339" s="8"/>
      <c r="Y339" s="8"/>
      <c r="Z339" s="8"/>
    </row>
    <row r="340">
      <c r="A340" s="8">
        <f>IFERROR(__xludf.DUMMYFUNCTION("""COMPUTED_VALUE"""),671.0)</f>
        <v>671</v>
      </c>
      <c r="B340" s="8" t="str">
        <f>IFERROR(__xludf.DUMMYFUNCTION("""COMPUTED_VALUE"""),"tree")</f>
        <v>tree</v>
      </c>
      <c r="C340" s="8" t="str">
        <f>IFERROR(__xludf.DUMMYFUNCTION("""COMPUTED_VALUE"""),"graft")</f>
        <v>graft</v>
      </c>
      <c r="D340" s="55" t="str">
        <f>IFERROR(__xludf.DUMMYFUNCTION("""COMPUTED_VALUE"""),"Mangifera indica")</f>
        <v>Mangifera indica</v>
      </c>
      <c r="E340" s="8" t="str">
        <f>IFERROR(__xludf.DUMMYFUNCTION("""COMPUTED_VALUE"""),"Palmer")</f>
        <v>Palmer</v>
      </c>
      <c r="F340" s="8" t="str">
        <f>IFERROR(__xludf.DUMMYFUNCTION("""COMPUTED_VALUE"""),"Mango")</f>
        <v>Mango</v>
      </c>
      <c r="G340" s="8" t="str">
        <f>IFERROR(__xludf.DUMMYFUNCTION("""COMPUTED_VALUE"""),"mangue")</f>
        <v>mangue</v>
      </c>
      <c r="H340" s="8" t="str">
        <f>IFERROR(__xludf.DUMMYFUNCTION("""COMPUTED_VALUE"""),"graft")</f>
        <v>graft</v>
      </c>
      <c r="I340" s="8"/>
      <c r="J340" s="8"/>
      <c r="K340" s="8"/>
      <c r="L340" s="8">
        <f>IFERROR(__xludf.DUMMYFUNCTION("""COMPUTED_VALUE"""),1.0)</f>
        <v>1</v>
      </c>
      <c r="M340" s="8">
        <f>IFERROR(__xludf.DUMMYFUNCTION("""COMPUTED_VALUE"""),0.0)</f>
        <v>0</v>
      </c>
      <c r="N340" s="8">
        <f>IFERROR(__xludf.DUMMYFUNCTION("""COMPUTED_VALUE"""),0.0)</f>
        <v>0</v>
      </c>
      <c r="O340" s="8"/>
      <c r="P340" s="8"/>
      <c r="Q340" s="8"/>
      <c r="R340" s="8"/>
      <c r="S340" s="8"/>
      <c r="T340" s="8"/>
      <c r="U340" s="8"/>
      <c r="V340" s="8"/>
      <c r="W340" s="8"/>
      <c r="X340" s="8"/>
      <c r="Y340" s="8"/>
      <c r="Z340" s="8"/>
    </row>
    <row r="341">
      <c r="A341" s="8">
        <f>IFERROR(__xludf.DUMMYFUNCTION("""COMPUTED_VALUE"""),672.0)</f>
        <v>672</v>
      </c>
      <c r="B341" s="8" t="str">
        <f>IFERROR(__xludf.DUMMYFUNCTION("""COMPUTED_VALUE"""),"tree")</f>
        <v>tree</v>
      </c>
      <c r="C341" s="8" t="str">
        <f>IFERROR(__xludf.DUMMYFUNCTION("""COMPUTED_VALUE"""),"graft")</f>
        <v>graft</v>
      </c>
      <c r="D341" s="8" t="str">
        <f>IFERROR(__xludf.DUMMYFUNCTION("""COMPUTED_VALUE"""),"Annona cherimola")</f>
        <v>Annona cherimola</v>
      </c>
      <c r="E341" s="8" t="str">
        <f>IFERROR(__xludf.DUMMYFUNCTION("""COMPUTED_VALUE"""),"Seedling")</f>
        <v>Seedling</v>
      </c>
      <c r="F341" s="8" t="str">
        <f>IFERROR(__xludf.DUMMYFUNCTION("""COMPUTED_VALUE"""),"Cherimoya")</f>
        <v>Cherimoya</v>
      </c>
      <c r="G341" s="8" t="str">
        <f>IFERROR(__xludf.DUMMYFUNCTION("""COMPUTED_VALUE"""),"Chérimole")</f>
        <v>Chérimole</v>
      </c>
      <c r="H341" s="8" t="str">
        <f>IFERROR(__xludf.DUMMYFUNCTION("""COMPUTED_VALUE"""),"Cherimoya")</f>
        <v>Cherimoya</v>
      </c>
      <c r="I341" s="8" t="str">
        <f>IFERROR(__xludf.DUMMYFUNCTION("""COMPUTED_VALUE"""),"Plant in 25LBucket")</f>
        <v>Plant in 25LBucket</v>
      </c>
      <c r="J341" s="8"/>
      <c r="K341" s="8"/>
      <c r="L341" s="8" t="str">
        <f>IFERROR(__xludf.DUMMYFUNCTION("""COMPUTED_VALUE"""),"multiple")</f>
        <v>multiple</v>
      </c>
      <c r="M341" s="8">
        <f>IFERROR(__xludf.DUMMYFUNCTION("""COMPUTED_VALUE"""),4.0)</f>
        <v>4</v>
      </c>
      <c r="N341" s="8">
        <f>IFERROR(__xludf.DUMMYFUNCTION("""COMPUTED_VALUE"""),10.0)</f>
        <v>10</v>
      </c>
      <c r="O341" s="8"/>
      <c r="P341" s="8"/>
      <c r="Q341" s="8"/>
      <c r="R341" s="8"/>
      <c r="S341" s="8"/>
      <c r="T341" s="8"/>
      <c r="U341" s="8"/>
      <c r="V341" s="8"/>
      <c r="W341" s="8"/>
      <c r="X341" s="8"/>
      <c r="Y341" s="8"/>
      <c r="Z341" s="8"/>
    </row>
    <row r="342">
      <c r="A342" s="8">
        <f>IFERROR(__xludf.DUMMYFUNCTION("""COMPUTED_VALUE"""),673.0)</f>
        <v>673</v>
      </c>
      <c r="B342" s="8" t="str">
        <f>IFERROR(__xludf.DUMMYFUNCTION("""COMPUTED_VALUE"""),"tree")</f>
        <v>tree</v>
      </c>
      <c r="C342" s="8" t="str">
        <f>IFERROR(__xludf.DUMMYFUNCTION("""COMPUTED_VALUE"""),"graft")</f>
        <v>graft</v>
      </c>
      <c r="D342" s="8" t="str">
        <f>IFERROR(__xludf.DUMMYFUNCTION("""COMPUTED_VALUE"""),"Annona cherimola")</f>
        <v>Annona cherimola</v>
      </c>
      <c r="E342" s="8" t="str">
        <f>IFERROR(__xludf.DUMMYFUNCTION("""COMPUTED_VALUE"""),"Seedling")</f>
        <v>Seedling</v>
      </c>
      <c r="F342" s="8" t="str">
        <f>IFERROR(__xludf.DUMMYFUNCTION("""COMPUTED_VALUE"""),"Cherimoya")</f>
        <v>Cherimoya</v>
      </c>
      <c r="G342" s="8" t="str">
        <f>IFERROR(__xludf.DUMMYFUNCTION("""COMPUTED_VALUE"""),"Chérimole")</f>
        <v>Chérimole</v>
      </c>
      <c r="H342" s="8" t="str">
        <f>IFERROR(__xludf.DUMMYFUNCTION("""COMPUTED_VALUE"""),"Cherimoya")</f>
        <v>Cherimoya</v>
      </c>
      <c r="I342" s="8" t="str">
        <f>IFERROR(__xludf.DUMMYFUNCTION("""COMPUTED_VALUE"""),"Plant in 25LBucket")</f>
        <v>Plant in 25LBucket</v>
      </c>
      <c r="J342" s="8"/>
      <c r="K342" s="8"/>
      <c r="L342" s="8" t="str">
        <f>IFERROR(__xludf.DUMMYFUNCTION("""COMPUTED_VALUE"""),"multiple")</f>
        <v>multiple</v>
      </c>
      <c r="M342" s="8">
        <f>IFERROR(__xludf.DUMMYFUNCTION("""COMPUTED_VALUE"""),4.0)</f>
        <v>4</v>
      </c>
      <c r="N342" s="8">
        <f>IFERROR(__xludf.DUMMYFUNCTION("""COMPUTED_VALUE"""),10.0)</f>
        <v>10</v>
      </c>
      <c r="O342" s="8"/>
      <c r="P342" s="8"/>
      <c r="Q342" s="8"/>
      <c r="R342" s="8"/>
      <c r="S342" s="8"/>
      <c r="T342" s="8"/>
      <c r="U342" s="8"/>
      <c r="V342" s="8"/>
      <c r="W342" s="8"/>
      <c r="X342" s="8"/>
      <c r="Y342" s="8"/>
      <c r="Z342" s="8"/>
    </row>
    <row r="343">
      <c r="A343" s="8">
        <f>IFERROR(__xludf.DUMMYFUNCTION("""COMPUTED_VALUE"""),674.0)</f>
        <v>674</v>
      </c>
      <c r="B343" s="8" t="str">
        <f>IFERROR(__xludf.DUMMYFUNCTION("""COMPUTED_VALUE"""),"tree")</f>
        <v>tree</v>
      </c>
      <c r="C343" s="8" t="str">
        <f>IFERROR(__xludf.DUMMYFUNCTION("""COMPUTED_VALUE"""),"cutting")</f>
        <v>cutting</v>
      </c>
      <c r="D343" s="55" t="str">
        <f>IFERROR(__xludf.DUMMYFUNCTION("""COMPUTED_VALUE"""),"Bunchiosa sp.")</f>
        <v>Bunchiosa sp.</v>
      </c>
      <c r="E343" s="8"/>
      <c r="F343" s="8" t="str">
        <f>IFERROR(__xludf.DUMMYFUNCTION("""COMPUTED_VALUE"""),"Peanut Butter Fruit")</f>
        <v>Peanut Butter Fruit</v>
      </c>
      <c r="G343" s="8" t="str">
        <f>IFERROR(__xludf.DUMMYFUNCTION("""COMPUTED_VALUE"""),"Fruits au beurre de cacahuète")</f>
        <v>Fruits au beurre de cacahuète</v>
      </c>
      <c r="H343" s="8" t="str">
        <f>IFERROR(__xludf.DUMMYFUNCTION("""COMPUTED_VALUE"""),"Peanut Butter Fruit")</f>
        <v>Peanut Butter Fruit</v>
      </c>
      <c r="I343" s="8" t="str">
        <f>IFERROR(__xludf.DUMMYFUNCTION("""COMPUTED_VALUE"""),"Mamadi?")</f>
        <v>Mamadi?</v>
      </c>
      <c r="J343" s="8"/>
      <c r="K343" s="8"/>
      <c r="L343" s="8">
        <f>IFERROR(__xludf.DUMMYFUNCTION("""COMPUTED_VALUE"""),1.0)</f>
        <v>1</v>
      </c>
      <c r="M343" s="8"/>
      <c r="N343" s="8"/>
      <c r="O343" s="8"/>
      <c r="P343" s="8"/>
      <c r="Q343" s="8"/>
      <c r="R343" s="8"/>
      <c r="S343" s="8"/>
      <c r="T343" s="8"/>
      <c r="U343" s="8"/>
      <c r="V343" s="8"/>
      <c r="W343" s="8"/>
      <c r="X343" s="8"/>
      <c r="Y343" s="8"/>
      <c r="Z343" s="8"/>
    </row>
    <row r="344">
      <c r="A344" s="8">
        <f>IFERROR(__xludf.DUMMYFUNCTION("""COMPUTED_VALUE"""),675.0)</f>
        <v>675</v>
      </c>
      <c r="B344" s="8" t="str">
        <f>IFERROR(__xludf.DUMMYFUNCTION("""COMPUTED_VALUE"""),"tree")</f>
        <v>tree</v>
      </c>
      <c r="C344" s="8" t="str">
        <f>IFERROR(__xludf.DUMMYFUNCTION("""COMPUTED_VALUE"""),"cutting")</f>
        <v>cutting</v>
      </c>
      <c r="D344" s="55" t="str">
        <f>IFERROR(__xludf.DUMMYFUNCTION("""COMPUTED_VALUE"""),"Bunchiosa sp.")</f>
        <v>Bunchiosa sp.</v>
      </c>
      <c r="E344" s="8"/>
      <c r="F344" s="8" t="str">
        <f>IFERROR(__xludf.DUMMYFUNCTION("""COMPUTED_VALUE"""),"Peanut Butter Fruit")</f>
        <v>Peanut Butter Fruit</v>
      </c>
      <c r="G344" s="8" t="str">
        <f>IFERROR(__xludf.DUMMYFUNCTION("""COMPUTED_VALUE"""),"Fruits au beurre de cacahuète")</f>
        <v>Fruits au beurre de cacahuète</v>
      </c>
      <c r="H344" s="8" t="str">
        <f>IFERROR(__xludf.DUMMYFUNCTION("""COMPUTED_VALUE"""),"Peanut Butter Fruit")</f>
        <v>Peanut Butter Fruit</v>
      </c>
      <c r="I344" s="8" t="str">
        <f>IFERROR(__xludf.DUMMYFUNCTION("""COMPUTED_VALUE"""),"Mamadi?")</f>
        <v>Mamadi?</v>
      </c>
      <c r="J344" s="8"/>
      <c r="K344" s="8"/>
      <c r="L344" s="8">
        <f>IFERROR(__xludf.DUMMYFUNCTION("""COMPUTED_VALUE"""),1.0)</f>
        <v>1</v>
      </c>
      <c r="M344" s="8"/>
      <c r="N344" s="8"/>
      <c r="O344" s="8"/>
      <c r="P344" s="8"/>
      <c r="Q344" s="8"/>
      <c r="R344" s="8"/>
      <c r="S344" s="8"/>
      <c r="T344" s="8"/>
      <c r="U344" s="8"/>
      <c r="V344" s="8"/>
      <c r="W344" s="8"/>
      <c r="X344" s="8"/>
      <c r="Y344" s="8"/>
      <c r="Z344" s="8"/>
    </row>
    <row r="345">
      <c r="A345" s="8">
        <f>IFERROR(__xludf.DUMMYFUNCTION("""COMPUTED_VALUE"""),676.0)</f>
        <v>676</v>
      </c>
      <c r="B345" s="8" t="str">
        <f>IFERROR(__xludf.DUMMYFUNCTION("""COMPUTED_VALUE"""),"perennial")</f>
        <v>perennial</v>
      </c>
      <c r="C345" s="8" t="str">
        <f>IFERROR(__xludf.DUMMYFUNCTION("""COMPUTED_VALUE"""),"cutting")</f>
        <v>cutting</v>
      </c>
      <c r="D345" s="55" t="str">
        <f>IFERROR(__xludf.DUMMYFUNCTION("""COMPUTED_VALUE"""),"Hylocereus polyrhizus")</f>
        <v>Hylocereus polyrhizus</v>
      </c>
      <c r="E345" s="8" t="str">
        <f>IFERROR(__xludf.DUMMYFUNCTION("""COMPUTED_VALUE"""),"FL UNK")</f>
        <v>FL UNK</v>
      </c>
      <c r="F345" s="8" t="str">
        <f>IFERROR(__xludf.DUMMYFUNCTION("""COMPUTED_VALUE"""),"Dragon Fruit")</f>
        <v>Dragon Fruit</v>
      </c>
      <c r="G345" s="8" t="str">
        <f>IFERROR(__xludf.DUMMYFUNCTION("""COMPUTED_VALUE"""),"Fruit du dragon")</f>
        <v>Fruit du dragon</v>
      </c>
      <c r="H345" s="8" t="str">
        <f>IFERROR(__xludf.DUMMYFUNCTION("""COMPUTED_VALUE"""),"Dragon Fruit")</f>
        <v>Dragon Fruit</v>
      </c>
      <c r="I345" s="8" t="str">
        <f>IFERROR(__xludf.DUMMYFUNCTION("""COMPUTED_VALUE"""),"D22")</f>
        <v>D22</v>
      </c>
      <c r="J345" s="8"/>
      <c r="K345" s="8"/>
      <c r="L345" s="8" t="str">
        <f>IFERROR(__xludf.DUMMYFUNCTION("""COMPUTED_VALUE"""),"multiple")</f>
        <v>multiple</v>
      </c>
      <c r="M345" s="8">
        <f>IFERROR(__xludf.DUMMYFUNCTION("""COMPUTED_VALUE"""),1.0)</f>
        <v>1</v>
      </c>
      <c r="N345" s="8">
        <f>IFERROR(__xludf.DUMMYFUNCTION("""COMPUTED_VALUE"""),1.0)</f>
        <v>1</v>
      </c>
      <c r="O345" s="8"/>
      <c r="P345" s="8"/>
      <c r="Q345" s="8"/>
      <c r="R345" s="8"/>
      <c r="S345" s="8"/>
      <c r="T345" s="8"/>
      <c r="U345" s="8"/>
      <c r="V345" s="8"/>
      <c r="W345" s="8"/>
      <c r="X345" s="8"/>
      <c r="Y345" s="8"/>
      <c r="Z345" s="8"/>
    </row>
    <row r="346">
      <c r="A346" s="8">
        <f>IFERROR(__xludf.DUMMYFUNCTION("""COMPUTED_VALUE"""),677.0)</f>
        <v>677</v>
      </c>
      <c r="B346" s="8" t="str">
        <f>IFERROR(__xludf.DUMMYFUNCTION("""COMPUTED_VALUE"""),"tree")</f>
        <v>tree</v>
      </c>
      <c r="C346" s="8" t="str">
        <f>IFERROR(__xludf.DUMMYFUNCTION("""COMPUTED_VALUE"""),"cutting")</f>
        <v>cutting</v>
      </c>
      <c r="D346" s="55" t="str">
        <f>IFERROR(__xludf.DUMMYFUNCTION("""COMPUTED_VALUE"""),"Bunchiosa sp.")</f>
        <v>Bunchiosa sp.</v>
      </c>
      <c r="E346" s="8"/>
      <c r="F346" s="8" t="str">
        <f>IFERROR(__xludf.DUMMYFUNCTION("""COMPUTED_VALUE"""),"Peanut Butter Fruit")</f>
        <v>Peanut Butter Fruit</v>
      </c>
      <c r="G346" s="8" t="str">
        <f>IFERROR(__xludf.DUMMYFUNCTION("""COMPUTED_VALUE"""),"Fruits au beurre de cacahuète")</f>
        <v>Fruits au beurre de cacahuète</v>
      </c>
      <c r="H346" s="8" t="str">
        <f>IFERROR(__xludf.DUMMYFUNCTION("""COMPUTED_VALUE"""),"Peanut Butter Fruit")</f>
        <v>Peanut Butter Fruit</v>
      </c>
      <c r="I346" s="8" t="str">
        <f>IFERROR(__xludf.DUMMYFUNCTION("""COMPUTED_VALUE"""),"033")</f>
        <v>033</v>
      </c>
      <c r="J346" s="8"/>
      <c r="K346" s="8"/>
      <c r="L346" s="8">
        <f>IFERROR(__xludf.DUMMYFUNCTION("""COMPUTED_VALUE"""),1.0)</f>
        <v>1</v>
      </c>
      <c r="M346" s="8"/>
      <c r="N346" s="8"/>
      <c r="O346" s="8"/>
      <c r="P346" s="8"/>
      <c r="Q346" s="8"/>
      <c r="R346" s="8"/>
      <c r="S346" s="8"/>
      <c r="T346" s="8"/>
      <c r="U346" s="8"/>
      <c r="V346" s="8"/>
      <c r="W346" s="8"/>
      <c r="X346" s="8"/>
      <c r="Y346" s="8"/>
      <c r="Z346" s="8"/>
    </row>
    <row r="347">
      <c r="A347" s="8">
        <f>IFERROR(__xludf.DUMMYFUNCTION("""COMPUTED_VALUE"""),678.0)</f>
        <v>678</v>
      </c>
      <c r="B347" s="8" t="str">
        <f>IFERROR(__xludf.DUMMYFUNCTION("""COMPUTED_VALUE"""),"tree")</f>
        <v>tree</v>
      </c>
      <c r="C347" s="8" t="str">
        <f>IFERROR(__xludf.DUMMYFUNCTION("""COMPUTED_VALUE"""),"cutting")</f>
        <v>cutting</v>
      </c>
      <c r="D347" s="55" t="str">
        <f>IFERROR(__xludf.DUMMYFUNCTION("""COMPUTED_VALUE"""),"Bunchiosa sp.")</f>
        <v>Bunchiosa sp.</v>
      </c>
      <c r="E347" s="8"/>
      <c r="F347" s="8" t="str">
        <f>IFERROR(__xludf.DUMMYFUNCTION("""COMPUTED_VALUE"""),"Peanut Butter Fruit")</f>
        <v>Peanut Butter Fruit</v>
      </c>
      <c r="G347" s="8" t="str">
        <f>IFERROR(__xludf.DUMMYFUNCTION("""COMPUTED_VALUE"""),"Fruits au beurre de cacahuète")</f>
        <v>Fruits au beurre de cacahuète</v>
      </c>
      <c r="H347" s="8" t="str">
        <f>IFERROR(__xludf.DUMMYFUNCTION("""COMPUTED_VALUE"""),"Peanut Butter Fruit")</f>
        <v>Peanut Butter Fruit</v>
      </c>
      <c r="I347" s="8" t="str">
        <f>IFERROR(__xludf.DUMMYFUNCTION("""COMPUTED_VALUE"""),"Mamadi?")</f>
        <v>Mamadi?</v>
      </c>
      <c r="J347" s="8"/>
      <c r="K347" s="8"/>
      <c r="L347" s="8">
        <f>IFERROR(__xludf.DUMMYFUNCTION("""COMPUTED_VALUE"""),1.0)</f>
        <v>1</v>
      </c>
      <c r="M347" s="8"/>
      <c r="N347" s="8"/>
      <c r="O347" s="8"/>
      <c r="P347" s="8"/>
      <c r="Q347" s="8"/>
      <c r="R347" s="8"/>
      <c r="S347" s="8"/>
      <c r="T347" s="8"/>
      <c r="U347" s="8"/>
      <c r="V347" s="8"/>
      <c r="W347" s="8"/>
      <c r="X347" s="8"/>
      <c r="Y347" s="8"/>
      <c r="Z347" s="8"/>
    </row>
    <row r="348">
      <c r="A348" s="8">
        <f>IFERROR(__xludf.DUMMYFUNCTION("""COMPUTED_VALUE"""),679.0)</f>
        <v>679</v>
      </c>
      <c r="B348" s="8" t="str">
        <f>IFERROR(__xludf.DUMMYFUNCTION("""COMPUTED_VALUE"""),"tree")</f>
        <v>tree</v>
      </c>
      <c r="C348" s="8" t="str">
        <f>IFERROR(__xludf.DUMMYFUNCTION("""COMPUTED_VALUE"""),"cutting")</f>
        <v>cutting</v>
      </c>
      <c r="D348" s="55" t="str">
        <f>IFERROR(__xludf.DUMMYFUNCTION("""COMPUTED_VALUE"""),"Bunchiosa sp.")</f>
        <v>Bunchiosa sp.</v>
      </c>
      <c r="E348" s="8"/>
      <c r="F348" s="8" t="str">
        <f>IFERROR(__xludf.DUMMYFUNCTION("""COMPUTED_VALUE"""),"Peanut Butter Fruit")</f>
        <v>Peanut Butter Fruit</v>
      </c>
      <c r="G348" s="8" t="str">
        <f>IFERROR(__xludf.DUMMYFUNCTION("""COMPUTED_VALUE"""),"Fruits au beurre de cacahuète")</f>
        <v>Fruits au beurre de cacahuète</v>
      </c>
      <c r="H348" s="8" t="str">
        <f>IFERROR(__xludf.DUMMYFUNCTION("""COMPUTED_VALUE"""),"Peanut Butter Fruit")</f>
        <v>Peanut Butter Fruit</v>
      </c>
      <c r="I348" s="8" t="str">
        <f>IFERROR(__xludf.DUMMYFUNCTION("""COMPUTED_VALUE"""),"134")</f>
        <v>134</v>
      </c>
      <c r="J348" s="8"/>
      <c r="K348" s="8"/>
      <c r="L348" s="8">
        <f>IFERROR(__xludf.DUMMYFUNCTION("""COMPUTED_VALUE"""),1.0)</f>
        <v>1</v>
      </c>
      <c r="M348" s="8"/>
      <c r="N348" s="8"/>
      <c r="O348" s="8"/>
      <c r="P348" s="8"/>
      <c r="Q348" s="8"/>
      <c r="R348" s="8"/>
      <c r="S348" s="8"/>
      <c r="T348" s="8"/>
      <c r="U348" s="8"/>
      <c r="V348" s="8"/>
      <c r="W348" s="8"/>
      <c r="X348" s="8"/>
      <c r="Y348" s="8"/>
      <c r="Z348" s="8"/>
    </row>
    <row r="349">
      <c r="A349" s="8">
        <f>IFERROR(__xludf.DUMMYFUNCTION("""COMPUTED_VALUE"""),680.0)</f>
        <v>680</v>
      </c>
      <c r="B349" s="8" t="str">
        <f>IFERROR(__xludf.DUMMYFUNCTION("""COMPUTED_VALUE"""),"tree")</f>
        <v>tree</v>
      </c>
      <c r="C349" s="8" t="str">
        <f>IFERROR(__xludf.DUMMYFUNCTION("""COMPUTED_VALUE"""),"graft")</f>
        <v>graft</v>
      </c>
      <c r="D349" s="55" t="str">
        <f>IFERROR(__xludf.DUMMYFUNCTION("""COMPUTED_VALUE"""),"Mangifera indica")</f>
        <v>Mangifera indica</v>
      </c>
      <c r="E349" s="8" t="str">
        <f>IFERROR(__xludf.DUMMYFUNCTION("""COMPUTED_VALUE"""),"Eldon")</f>
        <v>Eldon</v>
      </c>
      <c r="F349" s="8" t="str">
        <f>IFERROR(__xludf.DUMMYFUNCTION("""COMPUTED_VALUE"""),"Mango")</f>
        <v>Mango</v>
      </c>
      <c r="G349" s="8" t="str">
        <f>IFERROR(__xludf.DUMMYFUNCTION("""COMPUTED_VALUE"""),"mangue")</f>
        <v>mangue</v>
      </c>
      <c r="H349" s="8" t="str">
        <f>IFERROR(__xludf.DUMMYFUNCTION("""COMPUTED_VALUE"""),"Mango")</f>
        <v>Mango</v>
      </c>
      <c r="I349" s="8"/>
      <c r="J349" s="8"/>
      <c r="K349" s="8"/>
      <c r="L349" s="8">
        <f>IFERROR(__xludf.DUMMYFUNCTION("""COMPUTED_VALUE"""),1.0)</f>
        <v>1</v>
      </c>
      <c r="M349" s="8">
        <f>IFERROR(__xludf.DUMMYFUNCTION("""COMPUTED_VALUE"""),0.0)</f>
        <v>0</v>
      </c>
      <c r="N349" s="8">
        <f>IFERROR(__xludf.DUMMYFUNCTION("""COMPUTED_VALUE"""),0.0)</f>
        <v>0</v>
      </c>
      <c r="O349" s="8"/>
      <c r="P349" s="8"/>
      <c r="Q349" s="8"/>
      <c r="R349" s="8"/>
      <c r="S349" s="8"/>
      <c r="T349" s="8"/>
      <c r="U349" s="8"/>
      <c r="V349" s="8"/>
      <c r="W349" s="8"/>
      <c r="X349" s="8"/>
      <c r="Y349" s="8"/>
      <c r="Z349" s="8"/>
    </row>
    <row r="350">
      <c r="A350" s="8">
        <f>IFERROR(__xludf.DUMMYFUNCTION("""COMPUTED_VALUE"""),681.0)</f>
        <v>681</v>
      </c>
      <c r="B350" s="8" t="str">
        <f>IFERROR(__xludf.DUMMYFUNCTION("""COMPUTED_VALUE"""),"plant_other")</f>
        <v>plant_other</v>
      </c>
      <c r="C350" s="8" t="str">
        <f>IFERROR(__xludf.DUMMYFUNCTION("""COMPUTED_VALUE"""),"rhizome")</f>
        <v>rhizome</v>
      </c>
      <c r="D350" s="55" t="str">
        <f>IFERROR(__xludf.DUMMYFUNCTION("""COMPUTED_VALUE"""),"Curcuma amada")</f>
        <v>Curcuma amada</v>
      </c>
      <c r="E350" s="8" t="str">
        <f>IFERROR(__xludf.DUMMYFUNCTION("""COMPUTED_VALUE"""),"White/Mango")</f>
        <v>White/Mango</v>
      </c>
      <c r="F350" s="8" t="str">
        <f>IFERROR(__xludf.DUMMYFUNCTION("""COMPUTED_VALUE"""),"Turmeric")</f>
        <v>Turmeric</v>
      </c>
      <c r="G350" s="8" t="str">
        <f>IFERROR(__xludf.DUMMYFUNCTION("""COMPUTED_VALUE"""),"Mangue Gingembre")</f>
        <v>Mangue Gingembre</v>
      </c>
      <c r="H350" s="8" t="str">
        <f>IFERROR(__xludf.DUMMYFUNCTION("""COMPUTED_VALUE"""),"Mango Ginger")</f>
        <v>Mango Ginger</v>
      </c>
      <c r="I350" s="8" t="str">
        <f>IFERROR(__xludf.DUMMYFUNCTION("""COMPUTED_VALUE"""),"nursery")</f>
        <v>nursery</v>
      </c>
      <c r="J350" s="8"/>
      <c r="K350" s="8"/>
      <c r="L350" s="8"/>
      <c r="M350" s="8">
        <f>IFERROR(__xludf.DUMMYFUNCTION("""COMPUTED_VALUE"""),0.0)</f>
        <v>0</v>
      </c>
      <c r="N350" s="8">
        <f>IFERROR(__xludf.DUMMYFUNCTION("""COMPUTED_VALUE"""),1.0)</f>
        <v>1</v>
      </c>
      <c r="O350" s="8"/>
      <c r="P350" s="8"/>
      <c r="Q350" s="8"/>
      <c r="R350" s="8"/>
      <c r="S350" s="8"/>
      <c r="T350" s="8"/>
      <c r="U350" s="8"/>
      <c r="V350" s="8"/>
      <c r="W350" s="8"/>
      <c r="X350" s="8"/>
      <c r="Y350" s="8"/>
      <c r="Z350" s="8"/>
    </row>
    <row r="351">
      <c r="A351" s="8">
        <f>IFERROR(__xludf.DUMMYFUNCTION("""COMPUTED_VALUE"""),682.0)</f>
        <v>682</v>
      </c>
      <c r="B351" s="8" t="str">
        <f>IFERROR(__xludf.DUMMYFUNCTION("""COMPUTED_VALUE"""),"tree")</f>
        <v>tree</v>
      </c>
      <c r="C351" s="8" t="str">
        <f>IFERROR(__xludf.DUMMYFUNCTION("""COMPUTED_VALUE"""),"cutting, graft")</f>
        <v>cutting, graft</v>
      </c>
      <c r="D351" s="55" t="str">
        <f>IFERROR(__xludf.DUMMYFUNCTION("""COMPUTED_VALUE"""),"Ficus carica")</f>
        <v>Ficus carica</v>
      </c>
      <c r="E351" s="8" t="str">
        <f>IFERROR(__xludf.DUMMYFUNCTION("""COMPUTED_VALUE"""),"Sucrette")</f>
        <v>Sucrette</v>
      </c>
      <c r="F351" s="8" t="str">
        <f>IFERROR(__xludf.DUMMYFUNCTION("""COMPUTED_VALUE"""),"Fig")</f>
        <v>Fig</v>
      </c>
      <c r="G351" s="8" t="str">
        <f>IFERROR(__xludf.DUMMYFUNCTION("""COMPUTED_VALUE"""),"figue")</f>
        <v>figue</v>
      </c>
      <c r="H351" s="8" t="str">
        <f>IFERROR(__xludf.DUMMYFUNCTION("""COMPUTED_VALUE"""),"Fig")</f>
        <v>Fig</v>
      </c>
      <c r="I351" s="8"/>
      <c r="J351" s="8"/>
      <c r="K351" s="8"/>
      <c r="L351" s="8" t="str">
        <f>IFERROR(__xludf.DUMMYFUNCTION("""COMPUTED_VALUE"""),"multiple")</f>
        <v>multiple</v>
      </c>
      <c r="M351" s="8">
        <f>IFERROR(__xludf.DUMMYFUNCTION("""COMPUTED_VALUE"""),0.0)</f>
        <v>0</v>
      </c>
      <c r="N351" s="8">
        <f>IFERROR(__xludf.DUMMYFUNCTION("""COMPUTED_VALUE"""),0.0)</f>
        <v>0</v>
      </c>
      <c r="O351" s="8"/>
      <c r="P351" s="8"/>
      <c r="Q351" s="8"/>
      <c r="R351" s="8"/>
      <c r="S351" s="8"/>
      <c r="T351" s="8"/>
      <c r="U351" s="8"/>
      <c r="V351" s="8"/>
      <c r="W351" s="8"/>
      <c r="X351" s="8"/>
      <c r="Y351" s="8"/>
      <c r="Z351" s="8"/>
    </row>
    <row r="352">
      <c r="A352" s="8">
        <f>IFERROR(__xludf.DUMMYFUNCTION("""COMPUTED_VALUE"""),683.0)</f>
        <v>683</v>
      </c>
      <c r="B352" s="8" t="str">
        <f>IFERROR(__xludf.DUMMYFUNCTION("""COMPUTED_VALUE"""),"tree")</f>
        <v>tree</v>
      </c>
      <c r="C352" s="8" t="str">
        <f>IFERROR(__xludf.DUMMYFUNCTION("""COMPUTED_VALUE"""),"graft")</f>
        <v>graft</v>
      </c>
      <c r="D352" s="8" t="str">
        <f>IFERROR(__xludf.DUMMYFUNCTION("""COMPUTED_VALUE"""),"Annona cherimola")</f>
        <v>Annona cherimola</v>
      </c>
      <c r="E352" s="8" t="str">
        <f>IFERROR(__xludf.DUMMYFUNCTION("""COMPUTED_VALUE"""),"Seedling")</f>
        <v>Seedling</v>
      </c>
      <c r="F352" s="8" t="str">
        <f>IFERROR(__xludf.DUMMYFUNCTION("""COMPUTED_VALUE"""),"Cherimoya")</f>
        <v>Cherimoya</v>
      </c>
      <c r="G352" s="8" t="str">
        <f>IFERROR(__xludf.DUMMYFUNCTION("""COMPUTED_VALUE"""),"Chérimole")</f>
        <v>Chérimole</v>
      </c>
      <c r="H352" s="8" t="str">
        <f>IFERROR(__xludf.DUMMYFUNCTION("""COMPUTED_VALUE"""),"Cherimoya")</f>
        <v>Cherimoya</v>
      </c>
      <c r="I352" s="8" t="str">
        <f>IFERROR(__xludf.DUMMYFUNCTION("""COMPUTED_VALUE"""),"Give to Mamadi")</f>
        <v>Give to Mamadi</v>
      </c>
      <c r="J352" s="8"/>
      <c r="K352" s="8"/>
      <c r="L352" s="8" t="str">
        <f>IFERROR(__xludf.DUMMYFUNCTION("""COMPUTED_VALUE"""),"multiple")</f>
        <v>multiple</v>
      </c>
      <c r="M352" s="8">
        <f>IFERROR(__xludf.DUMMYFUNCTION("""COMPUTED_VALUE"""),4.0)</f>
        <v>4</v>
      </c>
      <c r="N352" s="8">
        <f>IFERROR(__xludf.DUMMYFUNCTION("""COMPUTED_VALUE"""),10.0)</f>
        <v>10</v>
      </c>
      <c r="O352" s="8"/>
      <c r="P352" s="8"/>
      <c r="Q352" s="8"/>
      <c r="R352" s="8"/>
      <c r="S352" s="8"/>
      <c r="T352" s="8"/>
      <c r="U352" s="8"/>
      <c r="V352" s="8"/>
      <c r="W352" s="8"/>
      <c r="X352" s="8"/>
      <c r="Y352" s="8"/>
      <c r="Z352" s="8"/>
    </row>
    <row r="353">
      <c r="A353" s="8">
        <f>IFERROR(__xludf.DUMMYFUNCTION("""COMPUTED_VALUE"""),684.0)</f>
        <v>684</v>
      </c>
      <c r="B353" s="8" t="str">
        <f>IFERROR(__xludf.DUMMYFUNCTION("""COMPUTED_VALUE"""),"tree")</f>
        <v>tree</v>
      </c>
      <c r="C353" s="8" t="str">
        <f>IFERROR(__xludf.DUMMYFUNCTION("""COMPUTED_VALUE"""),"graft")</f>
        <v>graft</v>
      </c>
      <c r="D353" s="8" t="str">
        <f>IFERROR(__xludf.DUMMYFUNCTION("""COMPUTED_VALUE"""),"Annona cherimola")</f>
        <v>Annona cherimola</v>
      </c>
      <c r="E353" s="8" t="str">
        <f>IFERROR(__xludf.DUMMYFUNCTION("""COMPUTED_VALUE"""),"Seedling")</f>
        <v>Seedling</v>
      </c>
      <c r="F353" s="8" t="str">
        <f>IFERROR(__xludf.DUMMYFUNCTION("""COMPUTED_VALUE"""),"Cherimoya")</f>
        <v>Cherimoya</v>
      </c>
      <c r="G353" s="8" t="str">
        <f>IFERROR(__xludf.DUMMYFUNCTION("""COMPUTED_VALUE"""),"Chérimole")</f>
        <v>Chérimole</v>
      </c>
      <c r="H353" s="8" t="str">
        <f>IFERROR(__xludf.DUMMYFUNCTION("""COMPUTED_VALUE"""),"Cherimoya")</f>
        <v>Cherimoya</v>
      </c>
      <c r="I353" s="8" t="str">
        <f>IFERROR(__xludf.DUMMYFUNCTION("""COMPUTED_VALUE"""),"Give to Mamadi")</f>
        <v>Give to Mamadi</v>
      </c>
      <c r="J353" s="8"/>
      <c r="K353" s="8"/>
      <c r="L353" s="8" t="str">
        <f>IFERROR(__xludf.DUMMYFUNCTION("""COMPUTED_VALUE"""),"multiple")</f>
        <v>multiple</v>
      </c>
      <c r="M353" s="8">
        <f>IFERROR(__xludf.DUMMYFUNCTION("""COMPUTED_VALUE"""),4.0)</f>
        <v>4</v>
      </c>
      <c r="N353" s="8">
        <f>IFERROR(__xludf.DUMMYFUNCTION("""COMPUTED_VALUE"""),10.0)</f>
        <v>10</v>
      </c>
      <c r="O353" s="8"/>
      <c r="P353" s="8"/>
      <c r="Q353" s="8"/>
      <c r="R353" s="8"/>
      <c r="S353" s="8"/>
      <c r="T353" s="8"/>
      <c r="U353" s="8"/>
      <c r="V353" s="8"/>
      <c r="W353" s="8"/>
      <c r="X353" s="8"/>
      <c r="Y353" s="8"/>
      <c r="Z353" s="8"/>
    </row>
    <row r="354">
      <c r="A354" s="8">
        <f>IFERROR(__xludf.DUMMYFUNCTION("""COMPUTED_VALUE"""),685.0)</f>
        <v>685</v>
      </c>
      <c r="B354" s="8" t="str">
        <f>IFERROR(__xludf.DUMMYFUNCTION("""COMPUTED_VALUE"""),"tree")</f>
        <v>tree</v>
      </c>
      <c r="C354" s="8" t="str">
        <f>IFERROR(__xludf.DUMMYFUNCTION("""COMPUTED_VALUE"""),"cutting")</f>
        <v>cutting</v>
      </c>
      <c r="D354" s="55" t="str">
        <f>IFERROR(__xludf.DUMMYFUNCTION("""COMPUTED_VALUE"""),"Punica granatum")</f>
        <v>Punica granatum</v>
      </c>
      <c r="E354" s="8" t="str">
        <f>IFERROR(__xludf.DUMMYFUNCTION("""COMPUTED_VALUE"""),"Orange")</f>
        <v>Orange</v>
      </c>
      <c r="F354" s="8" t="str">
        <f>IFERROR(__xludf.DUMMYFUNCTION("""COMPUTED_VALUE"""),"Pomegranate")</f>
        <v>Pomegranate</v>
      </c>
      <c r="G354" s="8" t="str">
        <f>IFERROR(__xludf.DUMMYFUNCTION("""COMPUTED_VALUE"""),"Grenadier")</f>
        <v>Grenadier</v>
      </c>
      <c r="H354" s="8" t="str">
        <f>IFERROR(__xludf.DUMMYFUNCTION("""COMPUTED_VALUE"""),"Pomegranate")</f>
        <v>Pomegranate</v>
      </c>
      <c r="I354" s="8" t="str">
        <f>IFERROR(__xludf.DUMMYFUNCTION("""COMPUTED_VALUE"""),"M17")</f>
        <v>M17</v>
      </c>
      <c r="J354" s="8"/>
      <c r="K354" s="8"/>
      <c r="L354" s="8" t="str">
        <f>IFERROR(__xludf.DUMMYFUNCTION("""COMPUTED_VALUE"""),"multiple")</f>
        <v>multiple</v>
      </c>
      <c r="M354" s="8">
        <f>IFERROR(__xludf.DUMMYFUNCTION("""COMPUTED_VALUE"""),1.0)</f>
        <v>1</v>
      </c>
      <c r="N354" s="8">
        <f>IFERROR(__xludf.DUMMYFUNCTION("""COMPUTED_VALUE"""),2.0)</f>
        <v>2</v>
      </c>
      <c r="O354" s="8"/>
      <c r="P354" s="8"/>
      <c r="Q354" s="8"/>
      <c r="R354" s="8"/>
      <c r="S354" s="8"/>
      <c r="T354" s="8"/>
      <c r="U354" s="8"/>
      <c r="V354" s="8"/>
      <c r="W354" s="8"/>
      <c r="X354" s="8"/>
      <c r="Y354" s="8"/>
      <c r="Z354" s="8"/>
    </row>
    <row r="355">
      <c r="A355" s="8">
        <f>IFERROR(__xludf.DUMMYFUNCTION("""COMPUTED_VALUE"""),686.0)</f>
        <v>686</v>
      </c>
      <c r="B355" s="8" t="str">
        <f>IFERROR(__xludf.DUMMYFUNCTION("""COMPUTED_VALUE"""),"tree")</f>
        <v>tree</v>
      </c>
      <c r="C355" s="8" t="str">
        <f>IFERROR(__xludf.DUMMYFUNCTION("""COMPUTED_VALUE"""),"cutting")</f>
        <v>cutting</v>
      </c>
      <c r="D355" s="55" t="str">
        <f>IFERROR(__xludf.DUMMYFUNCTION("""COMPUTED_VALUE"""),"Punica granatum")</f>
        <v>Punica granatum</v>
      </c>
      <c r="E355" s="8" t="str">
        <f>IFERROR(__xludf.DUMMYFUNCTION("""COMPUTED_VALUE"""),"Orange")</f>
        <v>Orange</v>
      </c>
      <c r="F355" s="8" t="str">
        <f>IFERROR(__xludf.DUMMYFUNCTION("""COMPUTED_VALUE"""),"Pomegranate")</f>
        <v>Pomegranate</v>
      </c>
      <c r="G355" s="8" t="str">
        <f>IFERROR(__xludf.DUMMYFUNCTION("""COMPUTED_VALUE"""),"Grenadier")</f>
        <v>Grenadier</v>
      </c>
      <c r="H355" s="8" t="str">
        <f>IFERROR(__xludf.DUMMYFUNCTION("""COMPUTED_VALUE"""),"Pomegranate")</f>
        <v>Pomegranate</v>
      </c>
      <c r="I355" s="8"/>
      <c r="J355" s="8"/>
      <c r="K355" s="8"/>
      <c r="L355" s="8" t="str">
        <f>IFERROR(__xludf.DUMMYFUNCTION("""COMPUTED_VALUE"""),"multiple")</f>
        <v>multiple</v>
      </c>
      <c r="M355" s="8">
        <f>IFERROR(__xludf.DUMMYFUNCTION("""COMPUTED_VALUE"""),1.0)</f>
        <v>1</v>
      </c>
      <c r="N355" s="8">
        <f>IFERROR(__xludf.DUMMYFUNCTION("""COMPUTED_VALUE"""),2.0)</f>
        <v>2</v>
      </c>
      <c r="O355" s="8"/>
      <c r="P355" s="8"/>
      <c r="Q355" s="8"/>
      <c r="R355" s="8"/>
      <c r="S355" s="8"/>
      <c r="T355" s="8"/>
      <c r="U355" s="8"/>
      <c r="V355" s="8"/>
      <c r="W355" s="8"/>
      <c r="X355" s="8"/>
      <c r="Y355" s="8"/>
      <c r="Z355" s="8"/>
    </row>
    <row r="356">
      <c r="A356" s="8">
        <f>IFERROR(__xludf.DUMMYFUNCTION("""COMPUTED_VALUE"""),687.0)</f>
        <v>687</v>
      </c>
      <c r="B356" s="8" t="str">
        <f>IFERROR(__xludf.DUMMYFUNCTION("""COMPUTED_VALUE"""),"tree")</f>
        <v>tree</v>
      </c>
      <c r="C356" s="8" t="str">
        <f>IFERROR(__xludf.DUMMYFUNCTION("""COMPUTED_VALUE"""),"cutting")</f>
        <v>cutting</v>
      </c>
      <c r="D356" s="55" t="str">
        <f>IFERROR(__xludf.DUMMYFUNCTION("""COMPUTED_VALUE"""),"Punica granatum")</f>
        <v>Punica granatum</v>
      </c>
      <c r="E356" s="8" t="str">
        <f>IFERROR(__xludf.DUMMYFUNCTION("""COMPUTED_VALUE"""),"HYRDANAR X KIRMIZY-AKBUH")</f>
        <v>HYRDANAR X KIRMIZY-AKBUH</v>
      </c>
      <c r="F356" s="8" t="str">
        <f>IFERROR(__xludf.DUMMYFUNCTION("""COMPUTED_VALUE"""),"Pomegranate")</f>
        <v>Pomegranate</v>
      </c>
      <c r="G356" s="8" t="str">
        <f>IFERROR(__xludf.DUMMYFUNCTION("""COMPUTED_VALUE"""),"Grenadier")</f>
        <v>Grenadier</v>
      </c>
      <c r="H356" s="8" t="str">
        <f>IFERROR(__xludf.DUMMYFUNCTION("""COMPUTED_VALUE"""),"Pomegranate")</f>
        <v>Pomegranate</v>
      </c>
      <c r="I356" s="8" t="str">
        <f>IFERROR(__xludf.DUMMYFUNCTION("""COMPUTED_VALUE"""),"M15")</f>
        <v>M15</v>
      </c>
      <c r="J356" s="8"/>
      <c r="K356" s="8"/>
      <c r="L356" s="8" t="str">
        <f>IFERROR(__xludf.DUMMYFUNCTION("""COMPUTED_VALUE"""),"multiple")</f>
        <v>multiple</v>
      </c>
      <c r="M356" s="8">
        <f>IFERROR(__xludf.DUMMYFUNCTION("""COMPUTED_VALUE"""),2.0)</f>
        <v>2</v>
      </c>
      <c r="N356" s="8">
        <f>IFERROR(__xludf.DUMMYFUNCTION("""COMPUTED_VALUE"""),2.0)</f>
        <v>2</v>
      </c>
      <c r="O356" s="8"/>
      <c r="P356" s="8"/>
      <c r="Q356" s="8"/>
      <c r="R356" s="8"/>
      <c r="S356" s="8"/>
      <c r="T356" s="8"/>
      <c r="U356" s="8"/>
      <c r="V356" s="8"/>
      <c r="W356" s="8"/>
      <c r="X356" s="8"/>
      <c r="Y356" s="8"/>
      <c r="Z356" s="8"/>
    </row>
    <row r="357">
      <c r="A357" s="8">
        <f>IFERROR(__xludf.DUMMYFUNCTION("""COMPUTED_VALUE"""),688.0)</f>
        <v>688</v>
      </c>
      <c r="B357" s="8" t="str">
        <f>IFERROR(__xludf.DUMMYFUNCTION("""COMPUTED_VALUE"""),"tree")</f>
        <v>tree</v>
      </c>
      <c r="C357" s="8" t="str">
        <f>IFERROR(__xludf.DUMMYFUNCTION("""COMPUTED_VALUE"""),"cutting")</f>
        <v>cutting</v>
      </c>
      <c r="D357" s="55" t="str">
        <f>IFERROR(__xludf.DUMMYFUNCTION("""COMPUTED_VALUE"""),"Punica granatum")</f>
        <v>Punica granatum</v>
      </c>
      <c r="E357" s="8" t="str">
        <f>IFERROR(__xludf.DUMMYFUNCTION("""COMPUTED_VALUE"""),"HYRDANAR X KIRMIZY-AKBUH")</f>
        <v>HYRDANAR X KIRMIZY-AKBUH</v>
      </c>
      <c r="F357" s="8" t="str">
        <f>IFERROR(__xludf.DUMMYFUNCTION("""COMPUTED_VALUE"""),"Pomegranate")</f>
        <v>Pomegranate</v>
      </c>
      <c r="G357" s="8" t="str">
        <f>IFERROR(__xludf.DUMMYFUNCTION("""COMPUTED_VALUE"""),"Grenadier")</f>
        <v>Grenadier</v>
      </c>
      <c r="H357" s="8" t="str">
        <f>IFERROR(__xludf.DUMMYFUNCTION("""COMPUTED_VALUE"""),"Pomegranate")</f>
        <v>Pomegranate</v>
      </c>
      <c r="I357" s="8" t="str">
        <f>IFERROR(__xludf.DUMMYFUNCTION("""COMPUTED_VALUE"""),"P11")</f>
        <v>P11</v>
      </c>
      <c r="J357" s="8"/>
      <c r="K357" s="8"/>
      <c r="L357" s="8" t="str">
        <f>IFERROR(__xludf.DUMMYFUNCTION("""COMPUTED_VALUE"""),"multiple")</f>
        <v>multiple</v>
      </c>
      <c r="M357" s="8">
        <f>IFERROR(__xludf.DUMMYFUNCTION("""COMPUTED_VALUE"""),2.0)</f>
        <v>2</v>
      </c>
      <c r="N357" s="8">
        <f>IFERROR(__xludf.DUMMYFUNCTION("""COMPUTED_VALUE"""),2.0)</f>
        <v>2</v>
      </c>
      <c r="O357" s="8"/>
      <c r="P357" s="8"/>
      <c r="Q357" s="8"/>
      <c r="R357" s="8"/>
      <c r="S357" s="8"/>
      <c r="T357" s="8"/>
      <c r="U357" s="8"/>
      <c r="V357" s="8"/>
      <c r="W357" s="8"/>
      <c r="X357" s="8"/>
      <c r="Y357" s="8"/>
      <c r="Z357" s="8"/>
    </row>
    <row r="358">
      <c r="A358" s="8">
        <f>IFERROR(__xludf.DUMMYFUNCTION("""COMPUTED_VALUE"""),689.0)</f>
        <v>689</v>
      </c>
      <c r="B358" s="8" t="str">
        <f>IFERROR(__xludf.DUMMYFUNCTION("""COMPUTED_VALUE"""),"tree")</f>
        <v>tree</v>
      </c>
      <c r="C358" s="8" t="str">
        <f>IFERROR(__xludf.DUMMYFUNCTION("""COMPUTED_VALUE"""),"cutting")</f>
        <v>cutting</v>
      </c>
      <c r="D358" s="55" t="str">
        <f>IFERROR(__xludf.DUMMYFUNCTION("""COMPUTED_VALUE"""),"Punica granatum")</f>
        <v>Punica granatum</v>
      </c>
      <c r="E358" s="8" t="str">
        <f>IFERROR(__xludf.DUMMYFUNCTION("""COMPUTED_VALUE"""),"PALERMO")</f>
        <v>PALERMO</v>
      </c>
      <c r="F358" s="8" t="str">
        <f>IFERROR(__xludf.DUMMYFUNCTION("""COMPUTED_VALUE"""),"Pomegranate")</f>
        <v>Pomegranate</v>
      </c>
      <c r="G358" s="8" t="str">
        <f>IFERROR(__xludf.DUMMYFUNCTION("""COMPUTED_VALUE"""),"Grenadier")</f>
        <v>Grenadier</v>
      </c>
      <c r="H358" s="8" t="str">
        <f>IFERROR(__xludf.DUMMYFUNCTION("""COMPUTED_VALUE"""),"Pomegranate")</f>
        <v>Pomegranate</v>
      </c>
      <c r="I358" s="8" t="str">
        <f>IFERROR(__xludf.DUMMYFUNCTION("""COMPUTED_VALUE"""),"P07")</f>
        <v>P07</v>
      </c>
      <c r="J358" s="8"/>
      <c r="K358" s="8"/>
      <c r="L358" s="8" t="str">
        <f>IFERROR(__xludf.DUMMYFUNCTION("""COMPUTED_VALUE"""),"multiple")</f>
        <v>multiple</v>
      </c>
      <c r="M358" s="8">
        <f>IFERROR(__xludf.DUMMYFUNCTION("""COMPUTED_VALUE"""),2.0)</f>
        <v>2</v>
      </c>
      <c r="N358" s="8">
        <f>IFERROR(__xludf.DUMMYFUNCTION("""COMPUTED_VALUE"""),2.0)</f>
        <v>2</v>
      </c>
      <c r="O358" s="8"/>
      <c r="P358" s="8"/>
      <c r="Q358" s="8"/>
      <c r="R358" s="8"/>
      <c r="S358" s="8"/>
      <c r="T358" s="8"/>
      <c r="U358" s="8"/>
      <c r="V358" s="8"/>
      <c r="W358" s="8"/>
      <c r="X358" s="8"/>
      <c r="Y358" s="8"/>
      <c r="Z358" s="8"/>
    </row>
    <row r="359">
      <c r="A359" s="8">
        <f>IFERROR(__xludf.DUMMYFUNCTION("""COMPUTED_VALUE"""),690.0)</f>
        <v>690</v>
      </c>
      <c r="B359" s="8" t="str">
        <f>IFERROR(__xludf.DUMMYFUNCTION("""COMPUTED_VALUE"""),"tree")</f>
        <v>tree</v>
      </c>
      <c r="C359" s="8" t="str">
        <f>IFERROR(__xludf.DUMMYFUNCTION("""COMPUTED_VALUE"""),"cutting")</f>
        <v>cutting</v>
      </c>
      <c r="D359" s="55" t="str">
        <f>IFERROR(__xludf.DUMMYFUNCTION("""COMPUTED_VALUE"""),"Punica granatum")</f>
        <v>Punica granatum</v>
      </c>
      <c r="E359" s="8" t="str">
        <f>IFERROR(__xludf.DUMMYFUNCTION("""COMPUTED_VALUE"""),"PALERMO")</f>
        <v>PALERMO</v>
      </c>
      <c r="F359" s="8" t="str">
        <f>IFERROR(__xludf.DUMMYFUNCTION("""COMPUTED_VALUE"""),"Pomegranate")</f>
        <v>Pomegranate</v>
      </c>
      <c r="G359" s="8" t="str">
        <f>IFERROR(__xludf.DUMMYFUNCTION("""COMPUTED_VALUE"""),"Grenadier")</f>
        <v>Grenadier</v>
      </c>
      <c r="H359" s="8" t="str">
        <f>IFERROR(__xludf.DUMMYFUNCTION("""COMPUTED_VALUE"""),"Pomegranate")</f>
        <v>Pomegranate</v>
      </c>
      <c r="I359" s="8" t="str">
        <f>IFERROR(__xludf.DUMMYFUNCTION("""COMPUTED_VALUE"""),"M19")</f>
        <v>M19</v>
      </c>
      <c r="J359" s="8"/>
      <c r="K359" s="8"/>
      <c r="L359" s="8" t="str">
        <f>IFERROR(__xludf.DUMMYFUNCTION("""COMPUTED_VALUE"""),"multiple")</f>
        <v>multiple</v>
      </c>
      <c r="M359" s="8">
        <f>IFERROR(__xludf.DUMMYFUNCTION("""COMPUTED_VALUE"""),2.0)</f>
        <v>2</v>
      </c>
      <c r="N359" s="8">
        <f>IFERROR(__xludf.DUMMYFUNCTION("""COMPUTED_VALUE"""),2.0)</f>
        <v>2</v>
      </c>
      <c r="O359" s="8"/>
      <c r="P359" s="8"/>
      <c r="Q359" s="8"/>
      <c r="R359" s="8"/>
      <c r="S359" s="8"/>
      <c r="T359" s="8"/>
      <c r="U359" s="8"/>
      <c r="V359" s="8"/>
      <c r="W359" s="8"/>
      <c r="X359" s="8"/>
      <c r="Y359" s="8"/>
      <c r="Z359" s="8"/>
    </row>
    <row r="360">
      <c r="A360" s="8">
        <f>IFERROR(__xludf.DUMMYFUNCTION("""COMPUTED_VALUE"""),691.0)</f>
        <v>691</v>
      </c>
      <c r="B360" s="8" t="str">
        <f>IFERROR(__xludf.DUMMYFUNCTION("""COMPUTED_VALUE"""),"tree")</f>
        <v>tree</v>
      </c>
      <c r="C360" s="8" t="str">
        <f>IFERROR(__xludf.DUMMYFUNCTION("""COMPUTED_VALUE"""),"cutting, graft")</f>
        <v>cutting, graft</v>
      </c>
      <c r="D360" s="55" t="str">
        <f>IFERROR(__xludf.DUMMYFUNCTION("""COMPUTED_VALUE"""),"Morus sp.")</f>
        <v>Morus sp.</v>
      </c>
      <c r="E360" s="8" t="str">
        <f>IFERROR(__xludf.DUMMYFUNCTION("""COMPUTED_VALUE"""),"Late White")</f>
        <v>Late White</v>
      </c>
      <c r="F360" s="8" t="str">
        <f>IFERROR(__xludf.DUMMYFUNCTION("""COMPUTED_VALUE"""),"Mulberry")</f>
        <v>Mulberry</v>
      </c>
      <c r="G360" s="8" t="str">
        <f>IFERROR(__xludf.DUMMYFUNCTION("""COMPUTED_VALUE"""),"Mûre")</f>
        <v>Mûre</v>
      </c>
      <c r="H360" s="8" t="str">
        <f>IFERROR(__xludf.DUMMYFUNCTION("""COMPUTED_VALUE"""),"Mulberry")</f>
        <v>Mulberry</v>
      </c>
      <c r="I360" s="8" t="str">
        <f>IFERROR(__xludf.DUMMYFUNCTION("""COMPUTED_VALUE"""),"208")</f>
        <v>208</v>
      </c>
      <c r="J360" s="8"/>
      <c r="K360" s="8"/>
      <c r="L360" s="8" t="str">
        <f>IFERROR(__xludf.DUMMYFUNCTION("""COMPUTED_VALUE"""),"multiple")</f>
        <v>multiple</v>
      </c>
      <c r="M360" s="8">
        <f>IFERROR(__xludf.DUMMYFUNCTION("""COMPUTED_VALUE"""),1.0)</f>
        <v>1</v>
      </c>
      <c r="N360" s="8">
        <f>IFERROR(__xludf.DUMMYFUNCTION("""COMPUTED_VALUE"""),1.0)</f>
        <v>1</v>
      </c>
      <c r="O360" s="8"/>
      <c r="P360" s="8"/>
      <c r="Q360" s="8"/>
      <c r="R360" s="8"/>
      <c r="S360" s="8"/>
      <c r="T360" s="8"/>
      <c r="U360" s="8"/>
      <c r="V360" s="8"/>
      <c r="W360" s="8"/>
      <c r="X360" s="8"/>
      <c r="Y360" s="8"/>
      <c r="Z360" s="8"/>
    </row>
    <row r="361">
      <c r="A361" s="8">
        <f>IFERROR(__xludf.DUMMYFUNCTION("""COMPUTED_VALUE"""),692.0)</f>
        <v>692</v>
      </c>
      <c r="B361" s="8" t="str">
        <f>IFERROR(__xludf.DUMMYFUNCTION("""COMPUTED_VALUE"""),"tree")</f>
        <v>tree</v>
      </c>
      <c r="C361" s="8" t="str">
        <f>IFERROR(__xludf.DUMMYFUNCTION("""COMPUTED_VALUE"""),"cutting, graft")</f>
        <v>cutting, graft</v>
      </c>
      <c r="D361" s="55" t="str">
        <f>IFERROR(__xludf.DUMMYFUNCTION("""COMPUTED_VALUE"""),"Morus sp.")</f>
        <v>Morus sp.</v>
      </c>
      <c r="E361" s="8" t="str">
        <f>IFERROR(__xludf.DUMMYFUNCTION("""COMPUTED_VALUE"""),"Long White")</f>
        <v>Long White</v>
      </c>
      <c r="F361" s="8" t="str">
        <f>IFERROR(__xludf.DUMMYFUNCTION("""COMPUTED_VALUE"""),"Mulberry")</f>
        <v>Mulberry</v>
      </c>
      <c r="G361" s="8" t="str">
        <f>IFERROR(__xludf.DUMMYFUNCTION("""COMPUTED_VALUE"""),"Mûre")</f>
        <v>Mûre</v>
      </c>
      <c r="H361" s="8" t="str">
        <f>IFERROR(__xludf.DUMMYFUNCTION("""COMPUTED_VALUE"""),"Mulberry")</f>
        <v>Mulberry</v>
      </c>
      <c r="I361" s="8"/>
      <c r="J361" s="8"/>
      <c r="K361" s="8"/>
      <c r="L361" s="8" t="str">
        <f>IFERROR(__xludf.DUMMYFUNCTION("""COMPUTED_VALUE"""),"multiple")</f>
        <v>multiple</v>
      </c>
      <c r="M361" s="8">
        <f>IFERROR(__xludf.DUMMYFUNCTION("""COMPUTED_VALUE"""),0.0)</f>
        <v>0</v>
      </c>
      <c r="N361" s="8">
        <f>IFERROR(__xludf.DUMMYFUNCTION("""COMPUTED_VALUE"""),2.0)</f>
        <v>2</v>
      </c>
      <c r="O361" s="8"/>
      <c r="P361" s="8"/>
      <c r="Q361" s="8"/>
      <c r="R361" s="8"/>
      <c r="S361" s="8"/>
      <c r="T361" s="8"/>
      <c r="U361" s="8"/>
      <c r="V361" s="8"/>
      <c r="W361" s="8"/>
      <c r="X361" s="8"/>
      <c r="Y361" s="8"/>
      <c r="Z361" s="8"/>
    </row>
    <row r="362">
      <c r="A362" s="8">
        <f>IFERROR(__xludf.DUMMYFUNCTION("""COMPUTED_VALUE"""),693.0)</f>
        <v>693</v>
      </c>
      <c r="B362" s="8" t="str">
        <f>IFERROR(__xludf.DUMMYFUNCTION("""COMPUTED_VALUE"""),"tree")</f>
        <v>tree</v>
      </c>
      <c r="C362" s="8" t="str">
        <f>IFERROR(__xludf.DUMMYFUNCTION("""COMPUTED_VALUE"""),"cutting, graft")</f>
        <v>cutting, graft</v>
      </c>
      <c r="D362" s="55" t="str">
        <f>IFERROR(__xludf.DUMMYFUNCTION("""COMPUTED_VALUE"""),"Morus sp.")</f>
        <v>Morus sp.</v>
      </c>
      <c r="E362" s="8" t="str">
        <f>IFERROR(__xludf.DUMMYFUNCTION("""COMPUTED_VALUE"""),"Long White")</f>
        <v>Long White</v>
      </c>
      <c r="F362" s="8" t="str">
        <f>IFERROR(__xludf.DUMMYFUNCTION("""COMPUTED_VALUE"""),"Mulberry")</f>
        <v>Mulberry</v>
      </c>
      <c r="G362" s="8" t="str">
        <f>IFERROR(__xludf.DUMMYFUNCTION("""COMPUTED_VALUE"""),"Mûre")</f>
        <v>Mûre</v>
      </c>
      <c r="H362" s="8" t="str">
        <f>IFERROR(__xludf.DUMMYFUNCTION("""COMPUTED_VALUE"""),"Mulberry")</f>
        <v>Mulberry</v>
      </c>
      <c r="I362" s="8"/>
      <c r="J362" s="8"/>
      <c r="K362" s="8"/>
      <c r="L362" s="8" t="str">
        <f>IFERROR(__xludf.DUMMYFUNCTION("""COMPUTED_VALUE"""),"multiple")</f>
        <v>multiple</v>
      </c>
      <c r="M362" s="8">
        <f>IFERROR(__xludf.DUMMYFUNCTION("""COMPUTED_VALUE"""),0.0)</f>
        <v>0</v>
      </c>
      <c r="N362" s="8">
        <f>IFERROR(__xludf.DUMMYFUNCTION("""COMPUTED_VALUE"""),2.0)</f>
        <v>2</v>
      </c>
      <c r="O362" s="8"/>
      <c r="P362" s="8"/>
      <c r="Q362" s="8"/>
      <c r="R362" s="8"/>
      <c r="S362" s="8"/>
      <c r="T362" s="8"/>
      <c r="U362" s="8"/>
      <c r="V362" s="8"/>
      <c r="W362" s="8"/>
      <c r="X362" s="8"/>
      <c r="Y362" s="8"/>
      <c r="Z362" s="8"/>
    </row>
    <row r="363">
      <c r="A363" s="8">
        <f>IFERROR(__xludf.DUMMYFUNCTION("""COMPUTED_VALUE"""),694.0)</f>
        <v>694</v>
      </c>
      <c r="B363" s="8" t="str">
        <f>IFERROR(__xludf.DUMMYFUNCTION("""COMPUTED_VALUE"""),"tree")</f>
        <v>tree</v>
      </c>
      <c r="C363" s="8" t="str">
        <f>IFERROR(__xludf.DUMMYFUNCTION("""COMPUTED_VALUE"""),"graft")</f>
        <v>graft</v>
      </c>
      <c r="D363" s="55" t="str">
        <f>IFERROR(__xludf.DUMMYFUNCTION("""COMPUTED_VALUE"""),"Mangifera indica")</f>
        <v>Mangifera indica</v>
      </c>
      <c r="E363" s="8" t="str">
        <f>IFERROR(__xludf.DUMMYFUNCTION("""COMPUTED_VALUE"""),"Palmer")</f>
        <v>Palmer</v>
      </c>
      <c r="F363" s="8" t="str">
        <f>IFERROR(__xludf.DUMMYFUNCTION("""COMPUTED_VALUE"""),"Mango")</f>
        <v>Mango</v>
      </c>
      <c r="G363" s="8" t="str">
        <f>IFERROR(__xludf.DUMMYFUNCTION("""COMPUTED_VALUE"""),"mangue")</f>
        <v>mangue</v>
      </c>
      <c r="H363" s="8" t="str">
        <f>IFERROR(__xludf.DUMMYFUNCTION("""COMPUTED_VALUE"""),"Mango")</f>
        <v>Mango</v>
      </c>
      <c r="I363" s="8" t="str">
        <f>IFERROR(__xludf.DUMMYFUNCTION("""COMPUTED_VALUE"""),"M18")</f>
        <v>M18</v>
      </c>
      <c r="J363" s="8"/>
      <c r="K363" s="8"/>
      <c r="L363" s="8">
        <f>IFERROR(__xludf.DUMMYFUNCTION("""COMPUTED_VALUE"""),1.0)</f>
        <v>1</v>
      </c>
      <c r="M363" s="8">
        <f>IFERROR(__xludf.DUMMYFUNCTION("""COMPUTED_VALUE"""),0.0)</f>
        <v>0</v>
      </c>
      <c r="N363" s="8">
        <f>IFERROR(__xludf.DUMMYFUNCTION("""COMPUTED_VALUE"""),0.0)</f>
        <v>0</v>
      </c>
      <c r="O363" s="8"/>
      <c r="P363" s="8"/>
      <c r="Q363" s="8"/>
      <c r="R363" s="8"/>
      <c r="S363" s="8"/>
      <c r="T363" s="8"/>
      <c r="U363" s="8"/>
      <c r="V363" s="8"/>
      <c r="W363" s="8"/>
      <c r="X363" s="8"/>
      <c r="Y363" s="8"/>
      <c r="Z363" s="8"/>
    </row>
    <row r="364">
      <c r="A364" s="8">
        <f>IFERROR(__xludf.DUMMYFUNCTION("""COMPUTED_VALUE"""),695.0)</f>
        <v>695</v>
      </c>
      <c r="B364" s="8" t="str">
        <f>IFERROR(__xludf.DUMMYFUNCTION("""COMPUTED_VALUE"""),"tree")</f>
        <v>tree</v>
      </c>
      <c r="C364" s="8" t="str">
        <f>IFERROR(__xludf.DUMMYFUNCTION("""COMPUTED_VALUE"""),"graft")</f>
        <v>graft</v>
      </c>
      <c r="D364" s="55" t="str">
        <f>IFERROR(__xludf.DUMMYFUNCTION("""COMPUTED_VALUE"""),"Mangifera indica")</f>
        <v>Mangifera indica</v>
      </c>
      <c r="E364" s="8" t="str">
        <f>IFERROR(__xludf.DUMMYFUNCTION("""COMPUTED_VALUE"""),"Keint Rond")</f>
        <v>Keint Rond</v>
      </c>
      <c r="F364" s="8" t="str">
        <f>IFERROR(__xludf.DUMMYFUNCTION("""COMPUTED_VALUE"""),"Mango")</f>
        <v>Mango</v>
      </c>
      <c r="G364" s="8" t="str">
        <f>IFERROR(__xludf.DUMMYFUNCTION("""COMPUTED_VALUE"""),"mangue")</f>
        <v>mangue</v>
      </c>
      <c r="H364" s="8" t="str">
        <f>IFERROR(__xludf.DUMMYFUNCTION("""COMPUTED_VALUE"""),"Mango")</f>
        <v>Mango</v>
      </c>
      <c r="I364" s="8"/>
      <c r="J364" s="8"/>
      <c r="K364" s="8">
        <f>IFERROR(__xludf.DUMMYFUNCTION("""COMPUTED_VALUE"""),680.0)</f>
        <v>680</v>
      </c>
      <c r="L364" s="8">
        <f>IFERROR(__xludf.DUMMYFUNCTION("""COMPUTED_VALUE"""),1.0)</f>
        <v>1</v>
      </c>
      <c r="M364" s="8">
        <f>IFERROR(__xludf.DUMMYFUNCTION("""COMPUTED_VALUE"""),1.0)</f>
        <v>1</v>
      </c>
      <c r="N364" s="8">
        <f>IFERROR(__xludf.DUMMYFUNCTION("""COMPUTED_VALUE"""),2.0)</f>
        <v>2</v>
      </c>
      <c r="O364" s="8"/>
      <c r="P364" s="8"/>
      <c r="Q364" s="8"/>
      <c r="R364" s="8"/>
      <c r="S364" s="8"/>
      <c r="T364" s="8"/>
      <c r="U364" s="8"/>
      <c r="V364" s="8"/>
      <c r="W364" s="8"/>
      <c r="X364" s="8"/>
      <c r="Y364" s="8"/>
      <c r="Z364" s="8"/>
    </row>
    <row r="365">
      <c r="A365" s="8">
        <f>IFERROR(__xludf.DUMMYFUNCTION("""COMPUTED_VALUE"""),696.0)</f>
        <v>696</v>
      </c>
      <c r="B365" s="8" t="str">
        <f>IFERROR(__xludf.DUMMYFUNCTION("""COMPUTED_VALUE"""),"tree")</f>
        <v>tree</v>
      </c>
      <c r="C365" s="8" t="str">
        <f>IFERROR(__xludf.DUMMYFUNCTION("""COMPUTED_VALUE"""),"graft")</f>
        <v>graft</v>
      </c>
      <c r="D365" s="55" t="str">
        <f>IFERROR(__xludf.DUMMYFUNCTION("""COMPUTED_VALUE"""),"Mangifera indica")</f>
        <v>Mangifera indica</v>
      </c>
      <c r="E365" s="8" t="str">
        <f>IFERROR(__xludf.DUMMYFUNCTION("""COMPUTED_VALUE"""),"Keint Retard")</f>
        <v>Keint Retard</v>
      </c>
      <c r="F365" s="8" t="str">
        <f>IFERROR(__xludf.DUMMYFUNCTION("""COMPUTED_VALUE"""),"Mango")</f>
        <v>Mango</v>
      </c>
      <c r="G365" s="8" t="str">
        <f>IFERROR(__xludf.DUMMYFUNCTION("""COMPUTED_VALUE"""),"mangue")</f>
        <v>mangue</v>
      </c>
      <c r="H365" s="8" t="str">
        <f>IFERROR(__xludf.DUMMYFUNCTION("""COMPUTED_VALUE"""),"Mango")</f>
        <v>Mango</v>
      </c>
      <c r="I365" s="8"/>
      <c r="J365" s="8"/>
      <c r="K365" s="8"/>
      <c r="L365" s="8">
        <f>IFERROR(__xludf.DUMMYFUNCTION("""COMPUTED_VALUE"""),1.0)</f>
        <v>1</v>
      </c>
      <c r="M365" s="8">
        <f>IFERROR(__xludf.DUMMYFUNCTION("""COMPUTED_VALUE"""),1.0)</f>
        <v>1</v>
      </c>
      <c r="N365" s="8">
        <f>IFERROR(__xludf.DUMMYFUNCTION("""COMPUTED_VALUE"""),1.0)</f>
        <v>1</v>
      </c>
      <c r="O365" s="8"/>
      <c r="P365" s="8"/>
      <c r="Q365" s="8"/>
      <c r="R365" s="8"/>
      <c r="S365" s="8"/>
      <c r="T365" s="8"/>
      <c r="U365" s="8"/>
      <c r="V365" s="8"/>
      <c r="W365" s="8"/>
      <c r="X365" s="8"/>
      <c r="Y365" s="8"/>
      <c r="Z365" s="8"/>
    </row>
    <row r="366">
      <c r="A366" s="8">
        <f>IFERROR(__xludf.DUMMYFUNCTION("""COMPUTED_VALUE"""),697.0)</f>
        <v>697</v>
      </c>
      <c r="B366" s="8" t="str">
        <f>IFERROR(__xludf.DUMMYFUNCTION("""COMPUTED_VALUE"""),"tree")</f>
        <v>tree</v>
      </c>
      <c r="C366" s="8" t="str">
        <f>IFERROR(__xludf.DUMMYFUNCTION("""COMPUTED_VALUE"""),"graft")</f>
        <v>graft</v>
      </c>
      <c r="D366" s="55" t="str">
        <f>IFERROR(__xludf.DUMMYFUNCTION("""COMPUTED_VALUE"""),"Mangifera indica")</f>
        <v>Mangifera indica</v>
      </c>
      <c r="E366" s="8" t="str">
        <f>IFERROR(__xludf.DUMMYFUNCTION("""COMPUTED_VALUE"""),"Keint Rond")</f>
        <v>Keint Rond</v>
      </c>
      <c r="F366" s="8" t="str">
        <f>IFERROR(__xludf.DUMMYFUNCTION("""COMPUTED_VALUE"""),"Mango")</f>
        <v>Mango</v>
      </c>
      <c r="G366" s="8" t="str">
        <f>IFERROR(__xludf.DUMMYFUNCTION("""COMPUTED_VALUE"""),"mangue")</f>
        <v>mangue</v>
      </c>
      <c r="H366" s="8" t="str">
        <f>IFERROR(__xludf.DUMMYFUNCTION("""COMPUTED_VALUE"""),"Mango")</f>
        <v>Mango</v>
      </c>
      <c r="I366" s="8" t="str">
        <f>IFERROR(__xludf.DUMMYFUNCTION("""COMPUTED_VALUE"""),"M21")</f>
        <v>M21</v>
      </c>
      <c r="J366" s="8"/>
      <c r="K366" s="8">
        <f>IFERROR(__xludf.DUMMYFUNCTION("""COMPUTED_VALUE"""),700.0)</f>
        <v>700</v>
      </c>
      <c r="L366" s="8">
        <f>IFERROR(__xludf.DUMMYFUNCTION("""COMPUTED_VALUE"""),1.0)</f>
        <v>1</v>
      </c>
      <c r="M366" s="8">
        <f>IFERROR(__xludf.DUMMYFUNCTION("""COMPUTED_VALUE"""),1.0)</f>
        <v>1</v>
      </c>
      <c r="N366" s="8">
        <f>IFERROR(__xludf.DUMMYFUNCTION("""COMPUTED_VALUE"""),2.0)</f>
        <v>2</v>
      </c>
      <c r="O366" s="8"/>
      <c r="P366" s="8"/>
      <c r="Q366" s="8"/>
      <c r="R366" s="8"/>
      <c r="S366" s="8"/>
      <c r="T366" s="8"/>
      <c r="U366" s="8"/>
      <c r="V366" s="8"/>
      <c r="W366" s="8"/>
      <c r="X366" s="8"/>
      <c r="Y366" s="8"/>
      <c r="Z366" s="8"/>
    </row>
    <row r="367">
      <c r="A367" s="8">
        <f>IFERROR(__xludf.DUMMYFUNCTION("""COMPUTED_VALUE"""),698.0)</f>
        <v>698</v>
      </c>
      <c r="B367" s="8" t="str">
        <f>IFERROR(__xludf.DUMMYFUNCTION("""COMPUTED_VALUE"""),"tree")</f>
        <v>tree</v>
      </c>
      <c r="C367" s="8" t="str">
        <f>IFERROR(__xludf.DUMMYFUNCTION("""COMPUTED_VALUE"""),"air_layer")</f>
        <v>air_layer</v>
      </c>
      <c r="D367" s="55" t="str">
        <f>IFERROR(__xludf.DUMMYFUNCTION("""COMPUTED_VALUE"""),"Dimocarpus longan")</f>
        <v>Dimocarpus longan</v>
      </c>
      <c r="E367" s="8" t="str">
        <f>IFERROR(__xludf.DUMMYFUNCTION("""COMPUTED_VALUE"""),"Kohala")</f>
        <v>Kohala</v>
      </c>
      <c r="F367" s="8" t="str">
        <f>IFERROR(__xludf.DUMMYFUNCTION("""COMPUTED_VALUE"""),"Longan")</f>
        <v>Longan</v>
      </c>
      <c r="G367" s="8" t="str">
        <f>IFERROR(__xludf.DUMMYFUNCTION("""COMPUTED_VALUE"""),"Longane")</f>
        <v>Longane</v>
      </c>
      <c r="H367" s="8" t="str">
        <f>IFERROR(__xludf.DUMMYFUNCTION("""COMPUTED_VALUE"""),"Longan")</f>
        <v>Longan</v>
      </c>
      <c r="I367" s="8" t="str">
        <f>IFERROR(__xludf.DUMMYFUNCTION("""COMPUTED_VALUE"""),"155")</f>
        <v>155</v>
      </c>
      <c r="J367" s="8"/>
      <c r="K367" s="8">
        <f>IFERROR(__xludf.DUMMYFUNCTION("""COMPUTED_VALUE"""),647.0)</f>
        <v>647</v>
      </c>
      <c r="L367" s="8">
        <f>IFERROR(__xludf.DUMMYFUNCTION("""COMPUTED_VALUE"""),1.0)</f>
        <v>1</v>
      </c>
      <c r="M367" s="8">
        <f>IFERROR(__xludf.DUMMYFUNCTION("""COMPUTED_VALUE"""),2.0)</f>
        <v>2</v>
      </c>
      <c r="N367" s="8">
        <f>IFERROR(__xludf.DUMMYFUNCTION("""COMPUTED_VALUE"""),2.0)</f>
        <v>2</v>
      </c>
      <c r="O367" s="8"/>
      <c r="P367" s="8"/>
      <c r="Q367" s="8"/>
      <c r="R367" s="8"/>
      <c r="S367" s="8"/>
      <c r="T367" s="8"/>
      <c r="U367" s="8"/>
      <c r="V367" s="8"/>
      <c r="W367" s="8"/>
      <c r="X367" s="8"/>
      <c r="Y367" s="8"/>
      <c r="Z367" s="8"/>
    </row>
    <row r="368">
      <c r="A368" s="8">
        <f>IFERROR(__xludf.DUMMYFUNCTION("""COMPUTED_VALUE"""),699.0)</f>
        <v>699</v>
      </c>
      <c r="B368" s="8" t="str">
        <f>IFERROR(__xludf.DUMMYFUNCTION("""COMPUTED_VALUE"""),"tree")</f>
        <v>tree</v>
      </c>
      <c r="C368" s="8" t="str">
        <f>IFERROR(__xludf.DUMMYFUNCTION("""COMPUTED_VALUE"""),"graft")</f>
        <v>graft</v>
      </c>
      <c r="D368" s="55" t="str">
        <f>IFERROR(__xludf.DUMMYFUNCTION("""COMPUTED_VALUE"""),"Mangifera indica")</f>
        <v>Mangifera indica</v>
      </c>
      <c r="E368" s="8" t="str">
        <f>IFERROR(__xludf.DUMMYFUNCTION("""COMPUTED_VALUE"""),"Keint Retard")</f>
        <v>Keint Retard</v>
      </c>
      <c r="F368" s="8" t="str">
        <f>IFERROR(__xludf.DUMMYFUNCTION("""COMPUTED_VALUE"""),"Mango")</f>
        <v>Mango</v>
      </c>
      <c r="G368" s="8" t="str">
        <f>IFERROR(__xludf.DUMMYFUNCTION("""COMPUTED_VALUE"""),"mangue")</f>
        <v>mangue</v>
      </c>
      <c r="H368" s="8" t="str">
        <f>IFERROR(__xludf.DUMMYFUNCTION("""COMPUTED_VALUE"""),"Mango")</f>
        <v>Mango</v>
      </c>
      <c r="I368" s="8" t="str">
        <f>IFERROR(__xludf.DUMMYFUNCTION("""COMPUTED_VALUE"""),"M23")</f>
        <v>M23</v>
      </c>
      <c r="J368" s="8"/>
      <c r="K368" s="8"/>
      <c r="L368" s="8">
        <f>IFERROR(__xludf.DUMMYFUNCTION("""COMPUTED_VALUE"""),1.0)</f>
        <v>1</v>
      </c>
      <c r="M368" s="8">
        <f>IFERROR(__xludf.DUMMYFUNCTION("""COMPUTED_VALUE"""),1.0)</f>
        <v>1</v>
      </c>
      <c r="N368" s="8">
        <f>IFERROR(__xludf.DUMMYFUNCTION("""COMPUTED_VALUE"""),1.0)</f>
        <v>1</v>
      </c>
      <c r="O368" s="8"/>
      <c r="P368" s="8"/>
      <c r="Q368" s="8"/>
      <c r="R368" s="8"/>
      <c r="S368" s="8"/>
      <c r="T368" s="8"/>
      <c r="U368" s="8"/>
      <c r="V368" s="8"/>
      <c r="W368" s="8"/>
      <c r="X368" s="8"/>
      <c r="Y368" s="8"/>
      <c r="Z368" s="8"/>
    </row>
    <row r="369">
      <c r="A369" s="8">
        <f>IFERROR(__xludf.DUMMYFUNCTION("""COMPUTED_VALUE"""),700.0)</f>
        <v>700</v>
      </c>
      <c r="B369" s="8" t="str">
        <f>IFERROR(__xludf.DUMMYFUNCTION("""COMPUTED_VALUE"""),"tree")</f>
        <v>tree</v>
      </c>
      <c r="C369" s="8" t="str">
        <f>IFERROR(__xludf.DUMMYFUNCTION("""COMPUTED_VALUE"""),"graft")</f>
        <v>graft</v>
      </c>
      <c r="D369" s="8" t="str">
        <f>IFERROR(__xludf.DUMMYFUNCTION("""COMPUTED_VALUE"""),"Annona cherimola")</f>
        <v>Annona cherimola</v>
      </c>
      <c r="E369" s="8" t="str">
        <f>IFERROR(__xludf.DUMMYFUNCTION("""COMPUTED_VALUE"""),"Seedling")</f>
        <v>Seedling</v>
      </c>
      <c r="F369" s="8" t="str">
        <f>IFERROR(__xludf.DUMMYFUNCTION("""COMPUTED_VALUE"""),"Cherimoya")</f>
        <v>Cherimoya</v>
      </c>
      <c r="G369" s="8" t="str">
        <f>IFERROR(__xludf.DUMMYFUNCTION("""COMPUTED_VALUE"""),"Chérimole")</f>
        <v>Chérimole</v>
      </c>
      <c r="H369" s="8" t="str">
        <f>IFERROR(__xludf.DUMMYFUNCTION("""COMPUTED_VALUE"""),"Cherimoya")</f>
        <v>Cherimoya</v>
      </c>
      <c r="I369" s="8" t="str">
        <f>IFERROR(__xludf.DUMMYFUNCTION("""COMPUTED_VALUE"""),"Give to Mamadi")</f>
        <v>Give to Mamadi</v>
      </c>
      <c r="J369" s="8"/>
      <c r="K369" s="8"/>
      <c r="L369" s="8" t="str">
        <f>IFERROR(__xludf.DUMMYFUNCTION("""COMPUTED_VALUE"""),"multiple")</f>
        <v>multiple</v>
      </c>
      <c r="M369" s="8">
        <f>IFERROR(__xludf.DUMMYFUNCTION("""COMPUTED_VALUE"""),4.0)</f>
        <v>4</v>
      </c>
      <c r="N369" s="8">
        <f>IFERROR(__xludf.DUMMYFUNCTION("""COMPUTED_VALUE"""),10.0)</f>
        <v>10</v>
      </c>
      <c r="O369" s="8"/>
      <c r="P369" s="8"/>
      <c r="Q369" s="8"/>
      <c r="R369" s="8"/>
      <c r="S369" s="8"/>
      <c r="T369" s="8"/>
      <c r="U369" s="8"/>
      <c r="V369" s="8"/>
      <c r="W369" s="8"/>
      <c r="X369" s="8"/>
      <c r="Y369" s="8"/>
      <c r="Z369" s="8"/>
    </row>
    <row r="370">
      <c r="A370" s="8">
        <f>IFERROR(__xludf.DUMMYFUNCTION("""COMPUTED_VALUE"""),701.0)</f>
        <v>701</v>
      </c>
      <c r="B370" s="8" t="str">
        <f>IFERROR(__xludf.DUMMYFUNCTION("""COMPUTED_VALUE"""),"tree")</f>
        <v>tree</v>
      </c>
      <c r="C370" s="8" t="str">
        <f>IFERROR(__xludf.DUMMYFUNCTION("""COMPUTED_VALUE"""),"graft")</f>
        <v>graft</v>
      </c>
      <c r="D370" s="55" t="str">
        <f>IFERROR(__xludf.DUMMYFUNCTION("""COMPUTED_VALUE"""),"Pouteria sapota")</f>
        <v>Pouteria sapota</v>
      </c>
      <c r="E370" s="8" t="str">
        <f>IFERROR(__xludf.DUMMYFUNCTION("""COMPUTED_VALUE"""),"Pantin")</f>
        <v>Pantin</v>
      </c>
      <c r="F370" s="8" t="str">
        <f>IFERROR(__xludf.DUMMYFUNCTION("""COMPUTED_VALUE"""),"Mamey Sapote")</f>
        <v>Mamey Sapote</v>
      </c>
      <c r="G370" s="8" t="str">
        <f>IFERROR(__xludf.DUMMYFUNCTION("""COMPUTED_VALUE"""),"Sapote Mamey")</f>
        <v>Sapote Mamey</v>
      </c>
      <c r="H370" s="8" t="str">
        <f>IFERROR(__xludf.DUMMYFUNCTION("""COMPUTED_VALUE"""),"Mamey Sapote")</f>
        <v>Mamey Sapote</v>
      </c>
      <c r="I370" s="8" t="str">
        <f>IFERROR(__xludf.DUMMYFUNCTION("""COMPUTED_VALUE"""),"175")</f>
        <v>175</v>
      </c>
      <c r="J370" s="8"/>
      <c r="K370" s="8"/>
      <c r="L370" s="8" t="str">
        <f>IFERROR(__xludf.DUMMYFUNCTION("""COMPUTED_VALUE"""),"multiple")</f>
        <v>multiple</v>
      </c>
      <c r="M370" s="8">
        <f>IFERROR(__xludf.DUMMYFUNCTION("""COMPUTED_VALUE"""),1.0)</f>
        <v>1</v>
      </c>
      <c r="N370" s="8">
        <f>IFERROR(__xludf.DUMMYFUNCTION("""COMPUTED_VALUE"""),1.0)</f>
        <v>1</v>
      </c>
      <c r="O370" s="8"/>
      <c r="P370" s="8"/>
      <c r="Q370" s="8"/>
      <c r="R370" s="8"/>
      <c r="S370" s="8"/>
      <c r="T370" s="8"/>
      <c r="U370" s="8"/>
      <c r="V370" s="8"/>
      <c r="W370" s="8"/>
      <c r="X370" s="8"/>
      <c r="Y370" s="8"/>
      <c r="Z370" s="8"/>
    </row>
    <row r="371">
      <c r="A371" s="8">
        <f>IFERROR(__xludf.DUMMYFUNCTION("""COMPUTED_VALUE"""),702.0)</f>
        <v>702</v>
      </c>
      <c r="B371" s="8" t="str">
        <f>IFERROR(__xludf.DUMMYFUNCTION("""COMPUTED_VALUE"""),"tree")</f>
        <v>tree</v>
      </c>
      <c r="C371" s="8" t="str">
        <f>IFERROR(__xludf.DUMMYFUNCTION("""COMPUTED_VALUE"""),"graft")</f>
        <v>graft</v>
      </c>
      <c r="D371" s="55" t="str">
        <f>IFERROR(__xludf.DUMMYFUNCTION("""COMPUTED_VALUE"""),"Pouteria sapota")</f>
        <v>Pouteria sapota</v>
      </c>
      <c r="E371" s="8" t="str">
        <f>IFERROR(__xludf.DUMMYFUNCTION("""COMPUTED_VALUE"""),"Lorito")</f>
        <v>Lorito</v>
      </c>
      <c r="F371" s="8" t="str">
        <f>IFERROR(__xludf.DUMMYFUNCTION("""COMPUTED_VALUE"""),"Mamey Sapote")</f>
        <v>Mamey Sapote</v>
      </c>
      <c r="G371" s="8" t="str">
        <f>IFERROR(__xludf.DUMMYFUNCTION("""COMPUTED_VALUE"""),"Sapote Mamey")</f>
        <v>Sapote Mamey</v>
      </c>
      <c r="H371" s="8" t="str">
        <f>IFERROR(__xludf.DUMMYFUNCTION("""COMPUTED_VALUE"""),"Mamey Sapote")</f>
        <v>Mamey Sapote</v>
      </c>
      <c r="I371" s="8" t="str">
        <f>IFERROR(__xludf.DUMMYFUNCTION("""COMPUTED_VALUE"""),"176")</f>
        <v>176</v>
      </c>
      <c r="J371" s="8"/>
      <c r="K371" s="8"/>
      <c r="L371" s="8" t="str">
        <f>IFERROR(__xludf.DUMMYFUNCTION("""COMPUTED_VALUE"""),"multiple")</f>
        <v>multiple</v>
      </c>
      <c r="M371" s="8">
        <f>IFERROR(__xludf.DUMMYFUNCTION("""COMPUTED_VALUE"""),1.0)</f>
        <v>1</v>
      </c>
      <c r="N371" s="8">
        <f>IFERROR(__xludf.DUMMYFUNCTION("""COMPUTED_VALUE"""),1.0)</f>
        <v>1</v>
      </c>
      <c r="O371" s="8"/>
      <c r="P371" s="8"/>
      <c r="Q371" s="8"/>
      <c r="R371" s="8"/>
      <c r="S371" s="8"/>
      <c r="T371" s="8"/>
      <c r="U371" s="8"/>
      <c r="V371" s="8"/>
      <c r="W371" s="8"/>
      <c r="X371" s="8"/>
      <c r="Y371" s="8"/>
      <c r="Z371" s="8"/>
    </row>
    <row r="372">
      <c r="A372" s="8">
        <f>IFERROR(__xludf.DUMMYFUNCTION("""COMPUTED_VALUE"""),703.0)</f>
        <v>703</v>
      </c>
      <c r="B372" s="8" t="str">
        <f>IFERROR(__xludf.DUMMYFUNCTION("""COMPUTED_VALUE"""),"tree")</f>
        <v>tree</v>
      </c>
      <c r="C372" s="8" t="str">
        <f>IFERROR(__xludf.DUMMYFUNCTION("""COMPUTED_VALUE"""),"graft")</f>
        <v>graft</v>
      </c>
      <c r="D372" s="55" t="str">
        <f>IFERROR(__xludf.DUMMYFUNCTION("""COMPUTED_VALUE"""),"Annona purpurea")</f>
        <v>Annona purpurea</v>
      </c>
      <c r="E372" s="8"/>
      <c r="F372" s="8" t="str">
        <f>IFERROR(__xludf.DUMMYFUNCTION("""COMPUTED_VALUE"""),"Soncoya ")</f>
        <v>Soncoya </v>
      </c>
      <c r="G372" s="8" t="str">
        <f>IFERROR(__xludf.DUMMYFUNCTION("""COMPUTED_VALUE"""),"Soncoya")</f>
        <v>Soncoya</v>
      </c>
      <c r="H372" s="8" t="str">
        <f>IFERROR(__xludf.DUMMYFUNCTION("""COMPUTED_VALUE"""),"Soncoya")</f>
        <v>Soncoya</v>
      </c>
      <c r="I372" s="8" t="str">
        <f>IFERROR(__xludf.DUMMYFUNCTION("""COMPUTED_VALUE"""),"122")</f>
        <v>122</v>
      </c>
      <c r="J372" s="8"/>
      <c r="K372" s="8"/>
      <c r="L372" s="8" t="str">
        <f>IFERROR(__xludf.DUMMYFUNCTION("""COMPUTED_VALUE"""),"multiple")</f>
        <v>multiple</v>
      </c>
      <c r="M372" s="8"/>
      <c r="N372" s="8"/>
      <c r="O372" s="8"/>
      <c r="P372" s="8"/>
      <c r="Q372" s="8"/>
      <c r="R372" s="8"/>
      <c r="S372" s="8"/>
      <c r="T372" s="8"/>
      <c r="U372" s="8"/>
      <c r="V372" s="8"/>
      <c r="W372" s="8"/>
      <c r="X372" s="8"/>
      <c r="Y372" s="8"/>
      <c r="Z372" s="8"/>
    </row>
    <row r="373">
      <c r="A373" s="8">
        <f>IFERROR(__xludf.DUMMYFUNCTION("""COMPUTED_VALUE"""),704.0)</f>
        <v>704</v>
      </c>
      <c r="B373" s="8" t="str">
        <f>IFERROR(__xludf.DUMMYFUNCTION("""COMPUTED_VALUE"""),"tree")</f>
        <v>tree</v>
      </c>
      <c r="C373" s="8" t="str">
        <f>IFERROR(__xludf.DUMMYFUNCTION("""COMPUTED_VALUE"""),"graft")</f>
        <v>graft</v>
      </c>
      <c r="D373" s="55" t="str">
        <f>IFERROR(__xludf.DUMMYFUNCTION("""COMPUTED_VALUE"""),"Annona purpurea")</f>
        <v>Annona purpurea</v>
      </c>
      <c r="E373" s="8" t="str">
        <f>IFERROR(__xludf.DUMMYFUNCTION("""COMPUTED_VALUE"""),"Seedling")</f>
        <v>Seedling</v>
      </c>
      <c r="F373" s="8" t="str">
        <f>IFERROR(__xludf.DUMMYFUNCTION("""COMPUTED_VALUE"""),"Soncoya ")</f>
        <v>Soncoya </v>
      </c>
      <c r="G373" s="8" t="str">
        <f>IFERROR(__xludf.DUMMYFUNCTION("""COMPUTED_VALUE"""),"Soncoya")</f>
        <v>Soncoya</v>
      </c>
      <c r="H373" s="8" t="str">
        <f>IFERROR(__xludf.DUMMYFUNCTION("""COMPUTED_VALUE"""),"Soncoya")</f>
        <v>Soncoya</v>
      </c>
      <c r="I373" s="8" t="str">
        <f>IFERROR(__xludf.DUMMYFUNCTION("""COMPUTED_VALUE"""),"120A")</f>
        <v>120A</v>
      </c>
      <c r="J373" s="8"/>
      <c r="K373" s="8"/>
      <c r="L373" s="8" t="str">
        <f>IFERROR(__xludf.DUMMYFUNCTION("""COMPUTED_VALUE"""),"multiple")</f>
        <v>multiple</v>
      </c>
      <c r="M373" s="8">
        <f>IFERROR(__xludf.DUMMYFUNCTION("""COMPUTED_VALUE"""),1.0)</f>
        <v>1</v>
      </c>
      <c r="N373" s="8">
        <f>IFERROR(__xludf.DUMMYFUNCTION("""COMPUTED_VALUE"""),1.0)</f>
        <v>1</v>
      </c>
      <c r="O373" s="8"/>
      <c r="P373" s="8"/>
      <c r="Q373" s="8"/>
      <c r="R373" s="8"/>
      <c r="S373" s="8"/>
      <c r="T373" s="8"/>
      <c r="U373" s="8"/>
      <c r="V373" s="8"/>
      <c r="W373" s="8"/>
      <c r="X373" s="8"/>
      <c r="Y373" s="8"/>
      <c r="Z373" s="8"/>
    </row>
    <row r="374">
      <c r="A374" s="8">
        <f>IFERROR(__xludf.DUMMYFUNCTION("""COMPUTED_VALUE"""),705.0)</f>
        <v>705</v>
      </c>
      <c r="B374" s="8" t="str">
        <f>IFERROR(__xludf.DUMMYFUNCTION("""COMPUTED_VALUE"""),"tree")</f>
        <v>tree</v>
      </c>
      <c r="C374" s="8" t="str">
        <f>IFERROR(__xludf.DUMMYFUNCTION("""COMPUTED_VALUE"""),"graft")</f>
        <v>graft</v>
      </c>
      <c r="D374" s="55" t="str">
        <f>IFERROR(__xludf.DUMMYFUNCTION("""COMPUTED_VALUE"""),"Diospyros kaki")</f>
        <v>Diospyros kaki</v>
      </c>
      <c r="E374" s="8" t="str">
        <f>IFERROR(__xludf.DUMMYFUNCTION("""COMPUTED_VALUE"""),"Triumph")</f>
        <v>Triumph</v>
      </c>
      <c r="F374" s="8" t="str">
        <f>IFERROR(__xludf.DUMMYFUNCTION("""COMPUTED_VALUE"""),"Asian Persimmon")</f>
        <v>Asian Persimmon</v>
      </c>
      <c r="G374" s="8" t="str">
        <f>IFERROR(__xludf.DUMMYFUNCTION("""COMPUTED_VALUE"""),"Kaki asiatique")</f>
        <v>Kaki asiatique</v>
      </c>
      <c r="H374" s="8" t="str">
        <f>IFERROR(__xludf.DUMMYFUNCTION("""COMPUTED_VALUE"""),"Asian Persimmon")</f>
        <v>Asian Persimmon</v>
      </c>
      <c r="I374" s="8" t="str">
        <f>IFERROR(__xludf.DUMMYFUNCTION("""COMPUTED_VALUE"""),"214")</f>
        <v>214</v>
      </c>
      <c r="J374" s="8"/>
      <c r="K374" s="8"/>
      <c r="L374" s="8"/>
      <c r="M374" s="8">
        <f>IFERROR(__xludf.DUMMYFUNCTION("""COMPUTED_VALUE"""),2.0)</f>
        <v>2</v>
      </c>
      <c r="N374" s="8">
        <f>IFERROR(__xludf.DUMMYFUNCTION("""COMPUTED_VALUE"""),2.0)</f>
        <v>2</v>
      </c>
      <c r="O374" s="8"/>
      <c r="P374" s="8"/>
      <c r="Q374" s="8"/>
      <c r="R374" s="8"/>
      <c r="S374" s="8"/>
      <c r="T374" s="8"/>
      <c r="U374" s="8"/>
      <c r="V374" s="8"/>
      <c r="W374" s="8"/>
      <c r="X374" s="8"/>
      <c r="Y374" s="8"/>
      <c r="Z374" s="8"/>
    </row>
    <row r="375">
      <c r="A375" s="8">
        <f>IFERROR(__xludf.DUMMYFUNCTION("""COMPUTED_VALUE"""),706.0)</f>
        <v>706</v>
      </c>
      <c r="B375" s="8" t="str">
        <f>IFERROR(__xludf.DUMMYFUNCTION("""COMPUTED_VALUE"""),"tree")</f>
        <v>tree</v>
      </c>
      <c r="C375" s="8" t="str">
        <f>IFERROR(__xludf.DUMMYFUNCTION("""COMPUTED_VALUE"""),"graft")</f>
        <v>graft</v>
      </c>
      <c r="D375" s="55" t="str">
        <f>IFERROR(__xludf.DUMMYFUNCTION("""COMPUTED_VALUE"""),"Pouteria sapota")</f>
        <v>Pouteria sapota</v>
      </c>
      <c r="E375" s="8" t="str">
        <f>IFERROR(__xludf.DUMMYFUNCTION("""COMPUTED_VALUE"""),"Viejo")</f>
        <v>Viejo</v>
      </c>
      <c r="F375" s="8" t="str">
        <f>IFERROR(__xludf.DUMMYFUNCTION("""COMPUTED_VALUE"""),"Mamey Sapote")</f>
        <v>Mamey Sapote</v>
      </c>
      <c r="G375" s="8" t="str">
        <f>IFERROR(__xludf.DUMMYFUNCTION("""COMPUTED_VALUE"""),"Sapote Mamey")</f>
        <v>Sapote Mamey</v>
      </c>
      <c r="H375" s="8" t="str">
        <f>IFERROR(__xludf.DUMMYFUNCTION("""COMPUTED_VALUE"""),"Mamey Sapote")</f>
        <v>Mamey Sapote</v>
      </c>
      <c r="I375" s="8" t="str">
        <f>IFERROR(__xludf.DUMMYFUNCTION("""COMPUTED_VALUE"""),"186")</f>
        <v>186</v>
      </c>
      <c r="J375" s="8"/>
      <c r="K375" s="8"/>
      <c r="L375" s="8" t="str">
        <f>IFERROR(__xludf.DUMMYFUNCTION("""COMPUTED_VALUE"""),"multiple")</f>
        <v>multiple</v>
      </c>
      <c r="M375" s="8">
        <f>IFERROR(__xludf.DUMMYFUNCTION("""COMPUTED_VALUE"""),1.0)</f>
        <v>1</v>
      </c>
      <c r="N375" s="8">
        <f>IFERROR(__xludf.DUMMYFUNCTION("""COMPUTED_VALUE"""),1.0)</f>
        <v>1</v>
      </c>
      <c r="O375" s="8"/>
      <c r="P375" s="8"/>
      <c r="Q375" s="8"/>
      <c r="R375" s="8"/>
      <c r="S375" s="8"/>
      <c r="T375" s="8"/>
      <c r="U375" s="8"/>
      <c r="V375" s="8"/>
      <c r="W375" s="8"/>
      <c r="X375" s="8"/>
      <c r="Y375" s="8"/>
      <c r="Z375" s="8"/>
    </row>
    <row r="376">
      <c r="A376" s="8">
        <f>IFERROR(__xludf.DUMMYFUNCTION("""COMPUTED_VALUE"""),707.0)</f>
        <v>707</v>
      </c>
      <c r="B376" s="8" t="str">
        <f>IFERROR(__xludf.DUMMYFUNCTION("""COMPUTED_VALUE"""),"tree")</f>
        <v>tree</v>
      </c>
      <c r="C376" s="8" t="str">
        <f>IFERROR(__xludf.DUMMYFUNCTION("""COMPUTED_VALUE"""),"graft")</f>
        <v>graft</v>
      </c>
      <c r="D376" s="55" t="str">
        <f>IFERROR(__xludf.DUMMYFUNCTION("""COMPUTED_VALUE"""),"Diospyros kaki")</f>
        <v>Diospyros kaki</v>
      </c>
      <c r="E376" s="8" t="str">
        <f>IFERROR(__xludf.DUMMYFUNCTION("""COMPUTED_VALUE"""),"Hachiya")</f>
        <v>Hachiya</v>
      </c>
      <c r="F376" s="8" t="str">
        <f>IFERROR(__xludf.DUMMYFUNCTION("""COMPUTED_VALUE"""),"Asian Persimmon")</f>
        <v>Asian Persimmon</v>
      </c>
      <c r="G376" s="8" t="str">
        <f>IFERROR(__xludf.DUMMYFUNCTION("""COMPUTED_VALUE"""),"Kaki asiatique")</f>
        <v>Kaki asiatique</v>
      </c>
      <c r="H376" s="8" t="str">
        <f>IFERROR(__xludf.DUMMYFUNCTION("""COMPUTED_VALUE"""),"Asian Persimmon")</f>
        <v>Asian Persimmon</v>
      </c>
      <c r="I376" s="8"/>
      <c r="J376" s="8"/>
      <c r="K376" s="8"/>
      <c r="L376" s="8"/>
      <c r="M376" s="8">
        <f>IFERROR(__xludf.DUMMYFUNCTION("""COMPUTED_VALUE"""),2.0)</f>
        <v>2</v>
      </c>
      <c r="N376" s="8">
        <f>IFERROR(__xludf.DUMMYFUNCTION("""COMPUTED_VALUE"""),2.0)</f>
        <v>2</v>
      </c>
      <c r="O376" s="8"/>
      <c r="P376" s="8"/>
      <c r="Q376" s="8"/>
      <c r="R376" s="8"/>
      <c r="S376" s="8"/>
      <c r="T376" s="8"/>
      <c r="U376" s="8"/>
      <c r="V376" s="8"/>
      <c r="W376" s="8"/>
      <c r="X376" s="8"/>
      <c r="Y376" s="8"/>
      <c r="Z376" s="8"/>
    </row>
    <row r="377">
      <c r="A377" s="8">
        <f>IFERROR(__xludf.DUMMYFUNCTION("""COMPUTED_VALUE"""),708.0)</f>
        <v>708</v>
      </c>
      <c r="B377" s="8" t="str">
        <f>IFERROR(__xludf.DUMMYFUNCTION("""COMPUTED_VALUE"""),"tree")</f>
        <v>tree</v>
      </c>
      <c r="C377" s="8" t="str">
        <f>IFERROR(__xludf.DUMMYFUNCTION("""COMPUTED_VALUE"""),"graft")</f>
        <v>graft</v>
      </c>
      <c r="D377" s="55" t="str">
        <f>IFERROR(__xludf.DUMMYFUNCTION("""COMPUTED_VALUE"""),"Diospyros kaki")</f>
        <v>Diospyros kaki</v>
      </c>
      <c r="E377" s="8" t="str">
        <f>IFERROR(__xludf.DUMMYFUNCTION("""COMPUTED_VALUE"""),"Triumph")</f>
        <v>Triumph</v>
      </c>
      <c r="F377" s="8" t="str">
        <f>IFERROR(__xludf.DUMMYFUNCTION("""COMPUTED_VALUE"""),"Asian Persimmon")</f>
        <v>Asian Persimmon</v>
      </c>
      <c r="G377" s="8" t="str">
        <f>IFERROR(__xludf.DUMMYFUNCTION("""COMPUTED_VALUE"""),"Kaki asiatique")</f>
        <v>Kaki asiatique</v>
      </c>
      <c r="H377" s="8" t="str">
        <f>IFERROR(__xludf.DUMMYFUNCTION("""COMPUTED_VALUE"""),"Asian Persimmon")</f>
        <v>Asian Persimmon</v>
      </c>
      <c r="I377" s="8" t="str">
        <f>IFERROR(__xludf.DUMMYFUNCTION("""COMPUTED_VALUE"""),"051")</f>
        <v>051</v>
      </c>
      <c r="J377" s="8"/>
      <c r="K377" s="8"/>
      <c r="L377" s="8"/>
      <c r="M377" s="8">
        <f>IFERROR(__xludf.DUMMYFUNCTION("""COMPUTED_VALUE"""),2.0)</f>
        <v>2</v>
      </c>
      <c r="N377" s="8">
        <f>IFERROR(__xludf.DUMMYFUNCTION("""COMPUTED_VALUE"""),2.0)</f>
        <v>2</v>
      </c>
      <c r="O377" s="8"/>
      <c r="P377" s="8"/>
      <c r="Q377" s="8"/>
      <c r="R377" s="8"/>
      <c r="S377" s="8"/>
      <c r="T377" s="8"/>
      <c r="U377" s="8"/>
      <c r="V377" s="8"/>
      <c r="W377" s="8"/>
      <c r="X377" s="8"/>
      <c r="Y377" s="8"/>
      <c r="Z377" s="8"/>
    </row>
    <row r="378">
      <c r="A378" s="8">
        <f>IFERROR(__xludf.DUMMYFUNCTION("""COMPUTED_VALUE"""),709.0)</f>
        <v>709</v>
      </c>
      <c r="B378" s="8" t="str">
        <f>IFERROR(__xludf.DUMMYFUNCTION("""COMPUTED_VALUE"""),"tree")</f>
        <v>tree</v>
      </c>
      <c r="C378" s="8" t="str">
        <f>IFERROR(__xludf.DUMMYFUNCTION("""COMPUTED_VALUE"""),"graft")</f>
        <v>graft</v>
      </c>
      <c r="D378" s="55" t="str">
        <f>IFERROR(__xludf.DUMMYFUNCTION("""COMPUTED_VALUE"""),"Annona mucosa")</f>
        <v>Annona mucosa</v>
      </c>
      <c r="E378" s="8" t="str">
        <f>IFERROR(__xludf.DUMMYFUNCTION("""COMPUTED_VALUE"""),"Seedling")</f>
        <v>Seedling</v>
      </c>
      <c r="F378" s="8" t="str">
        <f>IFERROR(__xludf.DUMMYFUNCTION("""COMPUTED_VALUE"""),"Rollinia")</f>
        <v>Rollinia</v>
      </c>
      <c r="G378" s="8" t="str">
        <f>IFERROR(__xludf.DUMMYFUNCTION("""COMPUTED_VALUE"""),"Rollinia")</f>
        <v>Rollinia</v>
      </c>
      <c r="H378" s="8" t="str">
        <f>IFERROR(__xludf.DUMMYFUNCTION("""COMPUTED_VALUE"""),"Rollinia")</f>
        <v>Rollinia</v>
      </c>
      <c r="I378" s="8" t="str">
        <f>IFERROR(__xludf.DUMMYFUNCTION("""COMPUTED_VALUE"""),"166")</f>
        <v>166</v>
      </c>
      <c r="J378" s="8"/>
      <c r="K378" s="8"/>
      <c r="L378" s="8" t="str">
        <f>IFERROR(__xludf.DUMMYFUNCTION("""COMPUTED_VALUE"""),"multiple")</f>
        <v>multiple</v>
      </c>
      <c r="M378" s="8">
        <f>IFERROR(__xludf.DUMMYFUNCTION("""COMPUTED_VALUE"""),3.0)</f>
        <v>3</v>
      </c>
      <c r="N378" s="8">
        <f>IFERROR(__xludf.DUMMYFUNCTION("""COMPUTED_VALUE"""),3.0)</f>
        <v>3</v>
      </c>
      <c r="O378" s="8"/>
      <c r="P378" s="8"/>
      <c r="Q378" s="8"/>
      <c r="R378" s="8"/>
      <c r="S378" s="8"/>
      <c r="T378" s="8"/>
      <c r="U378" s="8"/>
      <c r="V378" s="8"/>
      <c r="W378" s="8"/>
      <c r="X378" s="8"/>
      <c r="Y378" s="8"/>
      <c r="Z378" s="8"/>
    </row>
    <row r="379">
      <c r="A379" s="8">
        <f>IFERROR(__xludf.DUMMYFUNCTION("""COMPUTED_VALUE"""),710.0)</f>
        <v>710</v>
      </c>
      <c r="B379" s="8" t="str">
        <f>IFERROR(__xludf.DUMMYFUNCTION("""COMPUTED_VALUE"""),"tree")</f>
        <v>tree</v>
      </c>
      <c r="C379" s="8" t="str">
        <f>IFERROR(__xludf.DUMMYFUNCTION("""COMPUTED_VALUE"""),"graft")</f>
        <v>graft</v>
      </c>
      <c r="D379" s="55" t="str">
        <f>IFERROR(__xludf.DUMMYFUNCTION("""COMPUTED_VALUE"""),"Diospyros kaki")</f>
        <v>Diospyros kaki</v>
      </c>
      <c r="E379" s="8" t="str">
        <f>IFERROR(__xludf.DUMMYFUNCTION("""COMPUTED_VALUE"""),"Hachiya")</f>
        <v>Hachiya</v>
      </c>
      <c r="F379" s="8" t="str">
        <f>IFERROR(__xludf.DUMMYFUNCTION("""COMPUTED_VALUE"""),"Asian Persimmon")</f>
        <v>Asian Persimmon</v>
      </c>
      <c r="G379" s="8" t="str">
        <f>IFERROR(__xludf.DUMMYFUNCTION("""COMPUTED_VALUE"""),"Kaki asiatique")</f>
        <v>Kaki asiatique</v>
      </c>
      <c r="H379" s="8" t="str">
        <f>IFERROR(__xludf.DUMMYFUNCTION("""COMPUTED_VALUE"""),"Asian Persimmon")</f>
        <v>Asian Persimmon</v>
      </c>
      <c r="I379" s="8"/>
      <c r="J379" s="8"/>
      <c r="K379" s="8"/>
      <c r="L379" s="8"/>
      <c r="M379" s="8">
        <f>IFERROR(__xludf.DUMMYFUNCTION("""COMPUTED_VALUE"""),2.0)</f>
        <v>2</v>
      </c>
      <c r="N379" s="8">
        <f>IFERROR(__xludf.DUMMYFUNCTION("""COMPUTED_VALUE"""),2.0)</f>
        <v>2</v>
      </c>
      <c r="O379" s="8"/>
      <c r="P379" s="8"/>
      <c r="Q379" s="8"/>
      <c r="R379" s="8"/>
      <c r="S379" s="8"/>
      <c r="T379" s="8"/>
      <c r="U379" s="8"/>
      <c r="V379" s="8"/>
      <c r="W379" s="8"/>
      <c r="X379" s="8"/>
      <c r="Y379" s="8"/>
      <c r="Z379" s="8"/>
    </row>
    <row r="380">
      <c r="A380" s="8">
        <f>IFERROR(__xludf.DUMMYFUNCTION("""COMPUTED_VALUE"""),711.0)</f>
        <v>711</v>
      </c>
      <c r="B380" s="8" t="str">
        <f>IFERROR(__xludf.DUMMYFUNCTION("""COMPUTED_VALUE"""),"tree")</f>
        <v>tree</v>
      </c>
      <c r="C380" s="8" t="str">
        <f>IFERROR(__xludf.DUMMYFUNCTION("""COMPUTED_VALUE"""),"graft")</f>
        <v>graft</v>
      </c>
      <c r="D380" s="55" t="str">
        <f>IFERROR(__xludf.DUMMYFUNCTION("""COMPUTED_VALUE"""),"Diospyros kaki")</f>
        <v>Diospyros kaki</v>
      </c>
      <c r="E380" s="8" t="str">
        <f>IFERROR(__xludf.DUMMYFUNCTION("""COMPUTED_VALUE"""),"Fuyu")</f>
        <v>Fuyu</v>
      </c>
      <c r="F380" s="8" t="str">
        <f>IFERROR(__xludf.DUMMYFUNCTION("""COMPUTED_VALUE"""),"Asian Persimmon")</f>
        <v>Asian Persimmon</v>
      </c>
      <c r="G380" s="8" t="str">
        <f>IFERROR(__xludf.DUMMYFUNCTION("""COMPUTED_VALUE"""),"Kaki asiatique")</f>
        <v>Kaki asiatique</v>
      </c>
      <c r="H380" s="8" t="str">
        <f>IFERROR(__xludf.DUMMYFUNCTION("""COMPUTED_VALUE"""),"Asian Persimmon")</f>
        <v>Asian Persimmon</v>
      </c>
      <c r="I380" s="8"/>
      <c r="J380" s="8"/>
      <c r="K380" s="8"/>
      <c r="L380" s="8"/>
      <c r="M380" s="8">
        <f>IFERROR(__xludf.DUMMYFUNCTION("""COMPUTED_VALUE"""),0.0)</f>
        <v>0</v>
      </c>
      <c r="N380" s="8">
        <f>IFERROR(__xludf.DUMMYFUNCTION("""COMPUTED_VALUE"""),0.0)</f>
        <v>0</v>
      </c>
      <c r="O380" s="8"/>
      <c r="P380" s="8"/>
      <c r="Q380" s="8"/>
      <c r="R380" s="8"/>
      <c r="S380" s="8"/>
      <c r="T380" s="8"/>
      <c r="U380" s="8"/>
      <c r="V380" s="8"/>
      <c r="W380" s="8"/>
      <c r="X380" s="8"/>
      <c r="Y380" s="8"/>
      <c r="Z380" s="8"/>
    </row>
    <row r="381">
      <c r="A381" s="8">
        <f>IFERROR(__xludf.DUMMYFUNCTION("""COMPUTED_VALUE"""),712.0)</f>
        <v>712</v>
      </c>
      <c r="B381" s="8" t="str">
        <f>IFERROR(__xludf.DUMMYFUNCTION("""COMPUTED_VALUE"""),"tree")</f>
        <v>tree</v>
      </c>
      <c r="C381" s="8" t="str">
        <f>IFERROR(__xludf.DUMMYFUNCTION("""COMPUTED_VALUE"""),"graft")</f>
        <v>graft</v>
      </c>
      <c r="D381" s="55" t="str">
        <f>IFERROR(__xludf.DUMMYFUNCTION("""COMPUTED_VALUE"""),"Diospyros kaki")</f>
        <v>Diospyros kaki</v>
      </c>
      <c r="E381" s="8" t="str">
        <f>IFERROR(__xludf.DUMMYFUNCTION("""COMPUTED_VALUE"""),"Fuyu")</f>
        <v>Fuyu</v>
      </c>
      <c r="F381" s="8" t="str">
        <f>IFERROR(__xludf.DUMMYFUNCTION("""COMPUTED_VALUE"""),"Asian Persimmon")</f>
        <v>Asian Persimmon</v>
      </c>
      <c r="G381" s="8" t="str">
        <f>IFERROR(__xludf.DUMMYFUNCTION("""COMPUTED_VALUE"""),"Kaki asiatique")</f>
        <v>Kaki asiatique</v>
      </c>
      <c r="H381" s="8" t="str">
        <f>IFERROR(__xludf.DUMMYFUNCTION("""COMPUTED_VALUE"""),"Asian Persimmon")</f>
        <v>Asian Persimmon</v>
      </c>
      <c r="I381" s="8"/>
      <c r="J381" s="8"/>
      <c r="K381" s="8"/>
      <c r="L381" s="8"/>
      <c r="M381" s="8">
        <f>IFERROR(__xludf.DUMMYFUNCTION("""COMPUTED_VALUE"""),0.0)</f>
        <v>0</v>
      </c>
      <c r="N381" s="8">
        <f>IFERROR(__xludf.DUMMYFUNCTION("""COMPUTED_VALUE"""),0.0)</f>
        <v>0</v>
      </c>
      <c r="O381" s="8"/>
      <c r="P381" s="8"/>
      <c r="Q381" s="8"/>
      <c r="R381" s="8"/>
      <c r="S381" s="8"/>
      <c r="T381" s="8"/>
      <c r="U381" s="8"/>
      <c r="V381" s="8"/>
      <c r="W381" s="8"/>
      <c r="X381" s="8"/>
      <c r="Y381" s="8"/>
      <c r="Z381" s="8"/>
    </row>
    <row r="382">
      <c r="A382" s="8">
        <f>IFERROR(__xludf.DUMMYFUNCTION("""COMPUTED_VALUE"""),713.0)</f>
        <v>713</v>
      </c>
      <c r="B382" s="8" t="str">
        <f>IFERROR(__xludf.DUMMYFUNCTION("""COMPUTED_VALUE"""),"tree")</f>
        <v>tree</v>
      </c>
      <c r="C382" s="8" t="str">
        <f>IFERROR(__xludf.DUMMYFUNCTION("""COMPUTED_VALUE"""),"graft")</f>
        <v>graft</v>
      </c>
      <c r="D382" s="55" t="str">
        <f>IFERROR(__xludf.DUMMYFUNCTION("""COMPUTED_VALUE"""),"Mangifera indica")</f>
        <v>Mangifera indica</v>
      </c>
      <c r="E382" s="8" t="str">
        <f>IFERROR(__xludf.DUMMYFUNCTION("""COMPUTED_VALUE"""),"Mahdu ")</f>
        <v>Mahdu </v>
      </c>
      <c r="F382" s="8" t="str">
        <f>IFERROR(__xludf.DUMMYFUNCTION("""COMPUTED_VALUE"""),"Mango")</f>
        <v>Mango</v>
      </c>
      <c r="G382" s="8" t="str">
        <f>IFERROR(__xludf.DUMMYFUNCTION("""COMPUTED_VALUE"""),"mangue")</f>
        <v>mangue</v>
      </c>
      <c r="H382" s="8" t="str">
        <f>IFERROR(__xludf.DUMMYFUNCTION("""COMPUTED_VALUE"""),"Mango")</f>
        <v>Mango</v>
      </c>
      <c r="I382" s="8"/>
      <c r="J382" s="8"/>
      <c r="K382" s="8"/>
      <c r="L382" s="8">
        <f>IFERROR(__xludf.DUMMYFUNCTION("""COMPUTED_VALUE"""),1.0)</f>
        <v>1</v>
      </c>
      <c r="M382" s="8">
        <f>IFERROR(__xludf.DUMMYFUNCTION("""COMPUTED_VALUE"""),0.0)</f>
        <v>0</v>
      </c>
      <c r="N382" s="8">
        <f>IFERROR(__xludf.DUMMYFUNCTION("""COMPUTED_VALUE"""),0.0)</f>
        <v>0</v>
      </c>
      <c r="O382" s="8"/>
      <c r="P382" s="8"/>
      <c r="Q382" s="8"/>
      <c r="R382" s="8"/>
      <c r="S382" s="8"/>
      <c r="T382" s="8"/>
      <c r="U382" s="8"/>
      <c r="V382" s="8"/>
      <c r="W382" s="8"/>
      <c r="X382" s="8"/>
      <c r="Y382" s="8"/>
      <c r="Z382" s="8"/>
    </row>
    <row r="383">
      <c r="A383" s="8">
        <f>IFERROR(__xludf.DUMMYFUNCTION("""COMPUTED_VALUE"""),714.0)</f>
        <v>714</v>
      </c>
      <c r="B383" s="8" t="str">
        <f>IFERROR(__xludf.DUMMYFUNCTION("""COMPUTED_VALUE"""),"tree")</f>
        <v>tree</v>
      </c>
      <c r="C383" s="8" t="str">
        <f>IFERROR(__xludf.DUMMYFUNCTION("""COMPUTED_VALUE"""),"graft")</f>
        <v>graft</v>
      </c>
      <c r="D383" s="55" t="str">
        <f>IFERROR(__xludf.DUMMYFUNCTION("""COMPUTED_VALUE"""),"Persea americana")</f>
        <v>Persea americana</v>
      </c>
      <c r="E383" s="8" t="str">
        <f>IFERROR(__xludf.DUMMYFUNCTION("""COMPUTED_VALUE"""),"Marcus Pumpkin")</f>
        <v>Marcus Pumpkin</v>
      </c>
      <c r="F383" s="8" t="str">
        <f>IFERROR(__xludf.DUMMYFUNCTION("""COMPUTED_VALUE"""),"Avocado")</f>
        <v>Avocado</v>
      </c>
      <c r="G383" s="8" t="str">
        <f>IFERROR(__xludf.DUMMYFUNCTION("""COMPUTED_VALUE"""),"Avocat")</f>
        <v>Avocat</v>
      </c>
      <c r="H383" s="8" t="str">
        <f>IFERROR(__xludf.DUMMYFUNCTION("""COMPUTED_VALUE"""),"seed")</f>
        <v>seed</v>
      </c>
      <c r="I383" s="8"/>
      <c r="J383" s="8"/>
      <c r="K383" s="8"/>
      <c r="L383" s="8">
        <f>IFERROR(__xludf.DUMMYFUNCTION("""COMPUTED_VALUE"""),1.0)</f>
        <v>1</v>
      </c>
      <c r="M383" s="8">
        <f>IFERROR(__xludf.DUMMYFUNCTION("""COMPUTED_VALUE"""),0.0)</f>
        <v>0</v>
      </c>
      <c r="N383" s="8">
        <f>IFERROR(__xludf.DUMMYFUNCTION("""COMPUTED_VALUE"""),0.0)</f>
        <v>0</v>
      </c>
      <c r="O383" s="8"/>
      <c r="P383" s="8"/>
      <c r="Q383" s="8"/>
      <c r="R383" s="8"/>
      <c r="S383" s="8"/>
      <c r="T383" s="8"/>
      <c r="U383" s="8"/>
      <c r="V383" s="8"/>
      <c r="W383" s="8"/>
      <c r="X383" s="8"/>
      <c r="Y383" s="8"/>
      <c r="Z383" s="8"/>
    </row>
    <row r="384">
      <c r="A384" s="8">
        <f>IFERROR(__xludf.DUMMYFUNCTION("""COMPUTED_VALUE"""),715.0)</f>
        <v>715</v>
      </c>
      <c r="B384" s="8" t="str">
        <f>IFERROR(__xludf.DUMMYFUNCTION("""COMPUTED_VALUE"""),"tree")</f>
        <v>tree</v>
      </c>
      <c r="C384" s="8" t="str">
        <f>IFERROR(__xludf.DUMMYFUNCTION("""COMPUTED_VALUE"""),"air_layer")</f>
        <v>air_layer</v>
      </c>
      <c r="D384" s="55" t="str">
        <f>IFERROR(__xludf.DUMMYFUNCTION("""COMPUTED_VALUE"""),"Syzygium malaccense")</f>
        <v>Syzygium malaccense</v>
      </c>
      <c r="E384" s="8" t="str">
        <f>IFERROR(__xludf.DUMMYFUNCTION("""COMPUTED_VALUE"""),"Seedling")</f>
        <v>Seedling</v>
      </c>
      <c r="F384" s="8" t="str">
        <f>IFERROR(__xludf.DUMMYFUNCTION("""COMPUTED_VALUE"""),"Malay Apple")</f>
        <v>Malay Apple</v>
      </c>
      <c r="G384" s="8" t="str">
        <f>IFERROR(__xludf.DUMMYFUNCTION("""COMPUTED_VALUE"""),"Pomme Malaisienne")</f>
        <v>Pomme Malaisienne</v>
      </c>
      <c r="H384" s="8" t="str">
        <f>IFERROR(__xludf.DUMMYFUNCTION("""COMPUTED_VALUE"""),"Malay Apple")</f>
        <v>Malay Apple</v>
      </c>
      <c r="I384" s="8" t="str">
        <f>IFERROR(__xludf.DUMMYFUNCTION("""COMPUTED_VALUE"""),"209")</f>
        <v>209</v>
      </c>
      <c r="J384" s="8"/>
      <c r="K384" s="8"/>
      <c r="L384" s="8">
        <f>IFERROR(__xludf.DUMMYFUNCTION("""COMPUTED_VALUE"""),1.0)</f>
        <v>1</v>
      </c>
      <c r="M384" s="8">
        <f>IFERROR(__xludf.DUMMYFUNCTION("""COMPUTED_VALUE"""),2.0)</f>
        <v>2</v>
      </c>
      <c r="N384" s="8">
        <f>IFERROR(__xludf.DUMMYFUNCTION("""COMPUTED_VALUE"""),2.0)</f>
        <v>2</v>
      </c>
      <c r="O384" s="8"/>
      <c r="P384" s="8"/>
      <c r="Q384" s="8"/>
      <c r="R384" s="8"/>
      <c r="S384" s="8"/>
      <c r="T384" s="8"/>
      <c r="U384" s="8"/>
      <c r="V384" s="8"/>
      <c r="W384" s="8"/>
      <c r="X384" s="8"/>
      <c r="Y384" s="8"/>
      <c r="Z384" s="8"/>
    </row>
    <row r="385">
      <c r="A385" s="8">
        <f>IFERROR(__xludf.DUMMYFUNCTION("""COMPUTED_VALUE"""),716.0)</f>
        <v>716</v>
      </c>
      <c r="B385" s="8" t="str">
        <f>IFERROR(__xludf.DUMMYFUNCTION("""COMPUTED_VALUE"""),"tree")</f>
        <v>tree</v>
      </c>
      <c r="C385" s="8" t="str">
        <f>IFERROR(__xludf.DUMMYFUNCTION("""COMPUTED_VALUE"""),"graft")</f>
        <v>graft</v>
      </c>
      <c r="D385" s="55" t="str">
        <f>IFERROR(__xludf.DUMMYFUNCTION("""COMPUTED_VALUE"""),"Persea americana")</f>
        <v>Persea americana</v>
      </c>
      <c r="E385" s="8" t="str">
        <f>IFERROR(__xludf.DUMMYFUNCTION("""COMPUTED_VALUE"""),"Wilson")</f>
        <v>Wilson</v>
      </c>
      <c r="F385" s="8" t="str">
        <f>IFERROR(__xludf.DUMMYFUNCTION("""COMPUTED_VALUE"""),"Avocado")</f>
        <v>Avocado</v>
      </c>
      <c r="G385" s="8" t="str">
        <f>IFERROR(__xludf.DUMMYFUNCTION("""COMPUTED_VALUE"""),"Avocat")</f>
        <v>Avocat</v>
      </c>
      <c r="H385" s="8" t="str">
        <f>IFERROR(__xludf.DUMMYFUNCTION("""COMPUTED_VALUE"""),"Avocado")</f>
        <v>Avocado</v>
      </c>
      <c r="I385" s="8" t="str">
        <f>IFERROR(__xludf.DUMMYFUNCTION("""COMPUTED_VALUE"""),"185")</f>
        <v>185</v>
      </c>
      <c r="J385" s="8"/>
      <c r="K385" s="8"/>
      <c r="L385" s="8">
        <f>IFERROR(__xludf.DUMMYFUNCTION("""COMPUTED_VALUE"""),1.0)</f>
        <v>1</v>
      </c>
      <c r="M385" s="8">
        <f>IFERROR(__xludf.DUMMYFUNCTION("""COMPUTED_VALUE"""),1.0)</f>
        <v>1</v>
      </c>
      <c r="N385" s="8">
        <f>IFERROR(__xludf.DUMMYFUNCTION("""COMPUTED_VALUE"""),1.0)</f>
        <v>1</v>
      </c>
      <c r="O385" s="8"/>
      <c r="P385" s="8"/>
      <c r="Q385" s="8"/>
      <c r="R385" s="8"/>
      <c r="S385" s="8"/>
      <c r="T385" s="8"/>
      <c r="U385" s="8"/>
      <c r="V385" s="8"/>
      <c r="W385" s="8"/>
      <c r="X385" s="8"/>
      <c r="Y385" s="8"/>
      <c r="Z385" s="8"/>
    </row>
    <row r="386">
      <c r="A386" s="8">
        <f>IFERROR(__xludf.DUMMYFUNCTION("""COMPUTED_VALUE"""),717.0)</f>
        <v>717</v>
      </c>
      <c r="B386" s="8" t="str">
        <f>IFERROR(__xludf.DUMMYFUNCTION("""COMPUTED_VALUE"""),"tree")</f>
        <v>tree</v>
      </c>
      <c r="C386" s="8" t="str">
        <f>IFERROR(__xludf.DUMMYFUNCTION("""COMPUTED_VALUE"""),"graft")</f>
        <v>graft</v>
      </c>
      <c r="D386" s="55" t="str">
        <f>IFERROR(__xludf.DUMMYFUNCTION("""COMPUTED_VALUE"""),"Persea americana")</f>
        <v>Persea americana</v>
      </c>
      <c r="E386" s="8" t="str">
        <f>IFERROR(__xludf.DUMMYFUNCTION("""COMPUTED_VALUE"""),"Buck")</f>
        <v>Buck</v>
      </c>
      <c r="F386" s="8" t="str">
        <f>IFERROR(__xludf.DUMMYFUNCTION("""COMPUTED_VALUE"""),"Avocado")</f>
        <v>Avocado</v>
      </c>
      <c r="G386" s="8" t="str">
        <f>IFERROR(__xludf.DUMMYFUNCTION("""COMPUTED_VALUE"""),"Avocat")</f>
        <v>Avocat</v>
      </c>
      <c r="H386" s="8" t="str">
        <f>IFERROR(__xludf.DUMMYFUNCTION("""COMPUTED_VALUE"""),"Avocado")</f>
        <v>Avocado</v>
      </c>
      <c r="I386" s="8"/>
      <c r="J386" s="8"/>
      <c r="K386" s="8"/>
      <c r="L386" s="8">
        <f>IFERROR(__xludf.DUMMYFUNCTION("""COMPUTED_VALUE"""),1.0)</f>
        <v>1</v>
      </c>
      <c r="M386" s="8">
        <f>IFERROR(__xludf.DUMMYFUNCTION("""COMPUTED_VALUE"""),0.0)</f>
        <v>0</v>
      </c>
      <c r="N386" s="8">
        <f>IFERROR(__xludf.DUMMYFUNCTION("""COMPUTED_VALUE"""),0.0)</f>
        <v>0</v>
      </c>
      <c r="O386" s="8"/>
      <c r="P386" s="8"/>
      <c r="Q386" s="8"/>
      <c r="R386" s="8"/>
      <c r="S386" s="8"/>
      <c r="T386" s="8"/>
      <c r="U386" s="8"/>
      <c r="V386" s="8"/>
      <c r="W386" s="8"/>
      <c r="X386" s="8"/>
      <c r="Y386" s="8"/>
      <c r="Z386" s="8"/>
    </row>
    <row r="387">
      <c r="A387" s="8">
        <f>IFERROR(__xludf.DUMMYFUNCTION("""COMPUTED_VALUE"""),718.0)</f>
        <v>718</v>
      </c>
      <c r="B387" s="8" t="str">
        <f>IFERROR(__xludf.DUMMYFUNCTION("""COMPUTED_VALUE"""),"tree")</f>
        <v>tree</v>
      </c>
      <c r="C387" s="8" t="str">
        <f>IFERROR(__xludf.DUMMYFUNCTION("""COMPUTED_VALUE"""),"graft")</f>
        <v>graft</v>
      </c>
      <c r="D387" s="55" t="str">
        <f>IFERROR(__xludf.DUMMYFUNCTION("""COMPUTED_VALUE"""),"Persea americana")</f>
        <v>Persea americana</v>
      </c>
      <c r="E387" s="8" t="str">
        <f>IFERROR(__xludf.DUMMYFUNCTION("""COMPUTED_VALUE"""),"Choquette")</f>
        <v>Choquette</v>
      </c>
      <c r="F387" s="8" t="str">
        <f>IFERROR(__xludf.DUMMYFUNCTION("""COMPUTED_VALUE"""),"Avocado")</f>
        <v>Avocado</v>
      </c>
      <c r="G387" s="8" t="str">
        <f>IFERROR(__xludf.DUMMYFUNCTION("""COMPUTED_VALUE"""),"Avocat")</f>
        <v>Avocat</v>
      </c>
      <c r="H387" s="8" t="str">
        <f>IFERROR(__xludf.DUMMYFUNCTION("""COMPUTED_VALUE"""),"Avocado")</f>
        <v>Avocado</v>
      </c>
      <c r="I387" s="8" t="str">
        <f>IFERROR(__xludf.DUMMYFUNCTION("""COMPUTED_VALUE"""),"103A")</f>
        <v>103A</v>
      </c>
      <c r="J387" s="8"/>
      <c r="K387" s="8"/>
      <c r="L387" s="8">
        <f>IFERROR(__xludf.DUMMYFUNCTION("""COMPUTED_VALUE"""),1.0)</f>
        <v>1</v>
      </c>
      <c r="M387" s="8">
        <f>IFERROR(__xludf.DUMMYFUNCTION("""COMPUTED_VALUE"""),2.0)</f>
        <v>2</v>
      </c>
      <c r="N387" s="8">
        <f>IFERROR(__xludf.DUMMYFUNCTION("""COMPUTED_VALUE"""),3.0)</f>
        <v>3</v>
      </c>
      <c r="O387" s="8"/>
      <c r="P387" s="8"/>
      <c r="Q387" s="8"/>
      <c r="R387" s="8"/>
      <c r="S387" s="8"/>
      <c r="T387" s="8"/>
      <c r="U387" s="8"/>
      <c r="V387" s="8"/>
      <c r="W387" s="8"/>
      <c r="X387" s="8"/>
      <c r="Y387" s="8"/>
      <c r="Z387" s="8"/>
    </row>
    <row r="388">
      <c r="A388" s="8">
        <f>IFERROR(__xludf.DUMMYFUNCTION("""COMPUTED_VALUE"""),719.0)</f>
        <v>719</v>
      </c>
      <c r="B388" s="8" t="str">
        <f>IFERROR(__xludf.DUMMYFUNCTION("""COMPUTED_VALUE"""),"tree")</f>
        <v>tree</v>
      </c>
      <c r="C388" s="8" t="str">
        <f>IFERROR(__xludf.DUMMYFUNCTION("""COMPUTED_VALUE"""),"graft")</f>
        <v>graft</v>
      </c>
      <c r="D388" s="55" t="str">
        <f>IFERROR(__xludf.DUMMYFUNCTION("""COMPUTED_VALUE"""),"Pouteria sapota")</f>
        <v>Pouteria sapota</v>
      </c>
      <c r="E388" s="8" t="str">
        <f>IFERROR(__xludf.DUMMYFUNCTION("""COMPUTED_VALUE"""),"Magaña")</f>
        <v>Magaña</v>
      </c>
      <c r="F388" s="8" t="str">
        <f>IFERROR(__xludf.DUMMYFUNCTION("""COMPUTED_VALUE"""),"Mamey Sapote")</f>
        <v>Mamey Sapote</v>
      </c>
      <c r="G388" s="8" t="str">
        <f>IFERROR(__xludf.DUMMYFUNCTION("""COMPUTED_VALUE"""),"Sapote Mamey")</f>
        <v>Sapote Mamey</v>
      </c>
      <c r="H388" s="8" t="str">
        <f>IFERROR(__xludf.DUMMYFUNCTION("""COMPUTED_VALUE"""),"Mamey Sapote")</f>
        <v>Mamey Sapote</v>
      </c>
      <c r="I388" s="8" t="str">
        <f>IFERROR(__xludf.DUMMYFUNCTION("""COMPUTED_VALUE"""),"201")</f>
        <v>201</v>
      </c>
      <c r="J388" s="8"/>
      <c r="K388" s="8"/>
      <c r="L388" s="8" t="str">
        <f>IFERROR(__xludf.DUMMYFUNCTION("""COMPUTED_VALUE"""),"multiple")</f>
        <v>multiple</v>
      </c>
      <c r="M388" s="8">
        <f>IFERROR(__xludf.DUMMYFUNCTION("""COMPUTED_VALUE"""),1.0)</f>
        <v>1</v>
      </c>
      <c r="N388" s="8">
        <f>IFERROR(__xludf.DUMMYFUNCTION("""COMPUTED_VALUE"""),1.0)</f>
        <v>1</v>
      </c>
      <c r="O388" s="8"/>
      <c r="P388" s="8"/>
      <c r="Q388" s="8"/>
      <c r="R388" s="8"/>
      <c r="S388" s="8"/>
      <c r="T388" s="8"/>
      <c r="U388" s="8"/>
      <c r="V388" s="8"/>
      <c r="W388" s="8"/>
      <c r="X388" s="8"/>
      <c r="Y388" s="8"/>
      <c r="Z388" s="8"/>
    </row>
    <row r="389">
      <c r="A389" s="8">
        <f>IFERROR(__xludf.DUMMYFUNCTION("""COMPUTED_VALUE"""),720.0)</f>
        <v>720</v>
      </c>
      <c r="B389" s="8" t="str">
        <f>IFERROR(__xludf.DUMMYFUNCTION("""COMPUTED_VALUE"""),"tree")</f>
        <v>tree</v>
      </c>
      <c r="C389" s="8" t="str">
        <f>IFERROR(__xludf.DUMMYFUNCTION("""COMPUTED_VALUE"""),"graft")</f>
        <v>graft</v>
      </c>
      <c r="D389" s="55" t="str">
        <f>IFERROR(__xludf.DUMMYFUNCTION("""COMPUTED_VALUE"""),"Persea americana")</f>
        <v>Persea americana</v>
      </c>
      <c r="E389" s="8" t="str">
        <f>IFERROR(__xludf.DUMMYFUNCTION("""COMPUTED_VALUE"""),"Wurtz")</f>
        <v>Wurtz</v>
      </c>
      <c r="F389" s="8" t="str">
        <f>IFERROR(__xludf.DUMMYFUNCTION("""COMPUTED_VALUE"""),"Avocado")</f>
        <v>Avocado</v>
      </c>
      <c r="G389" s="8" t="str">
        <f>IFERROR(__xludf.DUMMYFUNCTION("""COMPUTED_VALUE"""),"Avocat")</f>
        <v>Avocat</v>
      </c>
      <c r="H389" s="8" t="str">
        <f>IFERROR(__xludf.DUMMYFUNCTION("""COMPUTED_VALUE"""),"Avocado")</f>
        <v>Avocado</v>
      </c>
      <c r="I389" s="8" t="str">
        <f>IFERROR(__xludf.DUMMYFUNCTION("""COMPUTED_VALUE"""),"113")</f>
        <v>113</v>
      </c>
      <c r="J389" s="8"/>
      <c r="K389" s="8"/>
      <c r="L389" s="8">
        <f>IFERROR(__xludf.DUMMYFUNCTION("""COMPUTED_VALUE"""),1.0)</f>
        <v>1</v>
      </c>
      <c r="M389" s="8">
        <f>IFERROR(__xludf.DUMMYFUNCTION("""COMPUTED_VALUE"""),0.0)</f>
        <v>0</v>
      </c>
      <c r="N389" s="8">
        <f>IFERROR(__xludf.DUMMYFUNCTION("""COMPUTED_VALUE"""),0.0)</f>
        <v>0</v>
      </c>
      <c r="O389" s="8"/>
      <c r="P389" s="8"/>
      <c r="Q389" s="8"/>
      <c r="R389" s="8"/>
      <c r="S389" s="8"/>
      <c r="T389" s="8"/>
      <c r="U389" s="8"/>
      <c r="V389" s="8"/>
      <c r="W389" s="8"/>
      <c r="X389" s="8"/>
      <c r="Y389" s="8"/>
      <c r="Z389" s="8"/>
    </row>
    <row r="390">
      <c r="A390" s="8">
        <f>IFERROR(__xludf.DUMMYFUNCTION("""COMPUTED_VALUE"""),721.0)</f>
        <v>721</v>
      </c>
      <c r="B390" s="8" t="str">
        <f>IFERROR(__xludf.DUMMYFUNCTION("""COMPUTED_VALUE"""),"tree")</f>
        <v>tree</v>
      </c>
      <c r="C390" s="8" t="str">
        <f>IFERROR(__xludf.DUMMYFUNCTION("""COMPUTED_VALUE"""),"graft")</f>
        <v>graft</v>
      </c>
      <c r="D390" s="55" t="str">
        <f>IFERROR(__xludf.DUMMYFUNCTION("""COMPUTED_VALUE"""),"Persea americana")</f>
        <v>Persea americana</v>
      </c>
      <c r="E390" s="8" t="str">
        <f>IFERROR(__xludf.DUMMYFUNCTION("""COMPUTED_VALUE"""),"Tonnage")</f>
        <v>Tonnage</v>
      </c>
      <c r="F390" s="8" t="str">
        <f>IFERROR(__xludf.DUMMYFUNCTION("""COMPUTED_VALUE"""),"Avocado")</f>
        <v>Avocado</v>
      </c>
      <c r="G390" s="8" t="str">
        <f>IFERROR(__xludf.DUMMYFUNCTION("""COMPUTED_VALUE"""),"Avocat")</f>
        <v>Avocat</v>
      </c>
      <c r="H390" s="8" t="str">
        <f>IFERROR(__xludf.DUMMYFUNCTION("""COMPUTED_VALUE"""),"Avocado")</f>
        <v>Avocado</v>
      </c>
      <c r="I390" s="8" t="str">
        <f>IFERROR(__xludf.DUMMYFUNCTION("""COMPUTED_VALUE"""),"161")</f>
        <v>161</v>
      </c>
      <c r="J390" s="8"/>
      <c r="K390" s="8"/>
      <c r="L390" s="8">
        <f>IFERROR(__xludf.DUMMYFUNCTION("""COMPUTED_VALUE"""),1.0)</f>
        <v>1</v>
      </c>
      <c r="M390" s="8">
        <f>IFERROR(__xludf.DUMMYFUNCTION("""COMPUTED_VALUE"""),1.0)</f>
        <v>1</v>
      </c>
      <c r="N390" s="8">
        <f>IFERROR(__xludf.DUMMYFUNCTION("""COMPUTED_VALUE"""),1.0)</f>
        <v>1</v>
      </c>
      <c r="O390" s="8"/>
      <c r="P390" s="8"/>
      <c r="Q390" s="8"/>
      <c r="R390" s="8"/>
      <c r="S390" s="8"/>
      <c r="T390" s="8"/>
      <c r="U390" s="8"/>
      <c r="V390" s="8"/>
      <c r="W390" s="8"/>
      <c r="X390" s="8"/>
      <c r="Y390" s="8"/>
      <c r="Z390" s="8"/>
    </row>
    <row r="391">
      <c r="A391" s="8">
        <f>IFERROR(__xludf.DUMMYFUNCTION("""COMPUTED_VALUE"""),722.0)</f>
        <v>722</v>
      </c>
      <c r="B391" s="8" t="str">
        <f>IFERROR(__xludf.DUMMYFUNCTION("""COMPUTED_VALUE"""),"tree")</f>
        <v>tree</v>
      </c>
      <c r="C391" s="8" t="str">
        <f>IFERROR(__xludf.DUMMYFUNCTION("""COMPUTED_VALUE"""),"graft")</f>
        <v>graft</v>
      </c>
      <c r="D391" s="55" t="str">
        <f>IFERROR(__xludf.DUMMYFUNCTION("""COMPUTED_VALUE"""),"Persea americana")</f>
        <v>Persea americana</v>
      </c>
      <c r="E391" s="8" t="str">
        <f>IFERROR(__xludf.DUMMYFUNCTION("""COMPUTED_VALUE"""),"Super Hass")</f>
        <v>Super Hass</v>
      </c>
      <c r="F391" s="8" t="str">
        <f>IFERROR(__xludf.DUMMYFUNCTION("""COMPUTED_VALUE"""),"Avocado")</f>
        <v>Avocado</v>
      </c>
      <c r="G391" s="8" t="str">
        <f>IFERROR(__xludf.DUMMYFUNCTION("""COMPUTED_VALUE"""),"Avocat")</f>
        <v>Avocat</v>
      </c>
      <c r="H391" s="8" t="str">
        <f>IFERROR(__xludf.DUMMYFUNCTION("""COMPUTED_VALUE"""),"Avocado")</f>
        <v>Avocado</v>
      </c>
      <c r="I391" s="8"/>
      <c r="J391" s="8"/>
      <c r="K391" s="8"/>
      <c r="L391" s="8">
        <f>IFERROR(__xludf.DUMMYFUNCTION("""COMPUTED_VALUE"""),1.0)</f>
        <v>1</v>
      </c>
      <c r="M391" s="8">
        <f>IFERROR(__xludf.DUMMYFUNCTION("""COMPUTED_VALUE"""),0.0)</f>
        <v>0</v>
      </c>
      <c r="N391" s="8">
        <f>IFERROR(__xludf.DUMMYFUNCTION("""COMPUTED_VALUE"""),0.0)</f>
        <v>0</v>
      </c>
      <c r="O391" s="8"/>
      <c r="P391" s="8"/>
      <c r="Q391" s="8"/>
      <c r="R391" s="8"/>
      <c r="S391" s="8"/>
      <c r="T391" s="8"/>
      <c r="U391" s="8"/>
      <c r="V391" s="8"/>
      <c r="W391" s="8"/>
      <c r="X391" s="8"/>
      <c r="Y391" s="8"/>
      <c r="Z391" s="8"/>
    </row>
    <row r="392">
      <c r="A392" s="8">
        <f>IFERROR(__xludf.DUMMYFUNCTION("""COMPUTED_VALUE"""),723.0)</f>
        <v>723</v>
      </c>
      <c r="B392" s="8" t="str">
        <f>IFERROR(__xludf.DUMMYFUNCTION("""COMPUTED_VALUE"""),"tree")</f>
        <v>tree</v>
      </c>
      <c r="C392" s="8" t="str">
        <f>IFERROR(__xludf.DUMMYFUNCTION("""COMPUTED_VALUE"""),"graft")</f>
        <v>graft</v>
      </c>
      <c r="D392" s="55" t="str">
        <f>IFERROR(__xludf.DUMMYFUNCTION("""COMPUTED_VALUE"""),"Persea americana")</f>
        <v>Persea americana</v>
      </c>
      <c r="E392" s="8" t="str">
        <f>IFERROR(__xludf.DUMMYFUNCTION("""COMPUTED_VALUE"""),"Choquette")</f>
        <v>Choquette</v>
      </c>
      <c r="F392" s="8" t="str">
        <f>IFERROR(__xludf.DUMMYFUNCTION("""COMPUTED_VALUE"""),"Avocado")</f>
        <v>Avocado</v>
      </c>
      <c r="G392" s="8" t="str">
        <f>IFERROR(__xludf.DUMMYFUNCTION("""COMPUTED_VALUE"""),"Avocat")</f>
        <v>Avocat</v>
      </c>
      <c r="H392" s="8" t="str">
        <f>IFERROR(__xludf.DUMMYFUNCTION("""COMPUTED_VALUE"""),"Avocado")</f>
        <v>Avocado</v>
      </c>
      <c r="I392" s="8"/>
      <c r="J392" s="8"/>
      <c r="K392" s="8"/>
      <c r="L392" s="8">
        <f>IFERROR(__xludf.DUMMYFUNCTION("""COMPUTED_VALUE"""),1.0)</f>
        <v>1</v>
      </c>
      <c r="M392" s="8">
        <f>IFERROR(__xludf.DUMMYFUNCTION("""COMPUTED_VALUE"""),2.0)</f>
        <v>2</v>
      </c>
      <c r="N392" s="8">
        <f>IFERROR(__xludf.DUMMYFUNCTION("""COMPUTED_VALUE"""),3.0)</f>
        <v>3</v>
      </c>
      <c r="O392" s="8"/>
      <c r="P392" s="8"/>
      <c r="Q392" s="8"/>
      <c r="R392" s="8"/>
      <c r="S392" s="8"/>
      <c r="T392" s="8"/>
      <c r="U392" s="8"/>
      <c r="V392" s="8"/>
      <c r="W392" s="8"/>
      <c r="X392" s="8"/>
      <c r="Y392" s="8"/>
      <c r="Z392" s="8"/>
    </row>
    <row r="393">
      <c r="A393" s="8">
        <f>IFERROR(__xludf.DUMMYFUNCTION("""COMPUTED_VALUE"""),724.0)</f>
        <v>724</v>
      </c>
      <c r="B393" s="8" t="str">
        <f>IFERROR(__xludf.DUMMYFUNCTION("""COMPUTED_VALUE"""),"tree")</f>
        <v>tree</v>
      </c>
      <c r="C393" s="8" t="str">
        <f>IFERROR(__xludf.DUMMYFUNCTION("""COMPUTED_VALUE"""),"air_layer")</f>
        <v>air_layer</v>
      </c>
      <c r="D393" s="55" t="str">
        <f>IFERROR(__xludf.DUMMYFUNCTION("""COMPUTED_VALUE"""),"Syzygium malaccense")</f>
        <v>Syzygium malaccense</v>
      </c>
      <c r="E393" s="8" t="str">
        <f>IFERROR(__xludf.DUMMYFUNCTION("""COMPUTED_VALUE"""),"Seedling")</f>
        <v>Seedling</v>
      </c>
      <c r="F393" s="8" t="str">
        <f>IFERROR(__xludf.DUMMYFUNCTION("""COMPUTED_VALUE"""),"Malay Apple")</f>
        <v>Malay Apple</v>
      </c>
      <c r="G393" s="8" t="str">
        <f>IFERROR(__xludf.DUMMYFUNCTION("""COMPUTED_VALUE"""),"Pomme Malaisienne")</f>
        <v>Pomme Malaisienne</v>
      </c>
      <c r="H393" s="8" t="str">
        <f>IFERROR(__xludf.DUMMYFUNCTION("""COMPUTED_VALUE"""),"Malay Apple")</f>
        <v>Malay Apple</v>
      </c>
      <c r="I393" s="8"/>
      <c r="J393" s="8"/>
      <c r="K393" s="8"/>
      <c r="L393" s="8">
        <f>IFERROR(__xludf.DUMMYFUNCTION("""COMPUTED_VALUE"""),1.0)</f>
        <v>1</v>
      </c>
      <c r="M393" s="8">
        <f>IFERROR(__xludf.DUMMYFUNCTION("""COMPUTED_VALUE"""),2.0)</f>
        <v>2</v>
      </c>
      <c r="N393" s="8">
        <f>IFERROR(__xludf.DUMMYFUNCTION("""COMPUTED_VALUE"""),2.0)</f>
        <v>2</v>
      </c>
      <c r="O393" s="8"/>
      <c r="P393" s="8"/>
      <c r="Q393" s="8"/>
      <c r="R393" s="8"/>
      <c r="S393" s="8"/>
      <c r="T393" s="8"/>
      <c r="U393" s="8"/>
      <c r="V393" s="8"/>
      <c r="W393" s="8"/>
      <c r="X393" s="8"/>
      <c r="Y393" s="8"/>
      <c r="Z393" s="8"/>
    </row>
    <row r="394">
      <c r="A394" s="8">
        <f>IFERROR(__xludf.DUMMYFUNCTION("""COMPUTED_VALUE"""),725.0)</f>
        <v>725</v>
      </c>
      <c r="B394" s="8" t="str">
        <f>IFERROR(__xludf.DUMMYFUNCTION("""COMPUTED_VALUE"""),"tree")</f>
        <v>tree</v>
      </c>
      <c r="C394" s="8" t="str">
        <f>IFERROR(__xludf.DUMMYFUNCTION("""COMPUTED_VALUE"""),"graft")</f>
        <v>graft</v>
      </c>
      <c r="D394" s="55" t="str">
        <f>IFERROR(__xludf.DUMMYFUNCTION("""COMPUTED_VALUE"""),"Persea americana")</f>
        <v>Persea americana</v>
      </c>
      <c r="E394" s="8" t="str">
        <f>IFERROR(__xludf.DUMMYFUNCTION("""COMPUTED_VALUE"""),"Lula")</f>
        <v>Lula</v>
      </c>
      <c r="F394" s="8" t="str">
        <f>IFERROR(__xludf.DUMMYFUNCTION("""COMPUTED_VALUE"""),"Avocado")</f>
        <v>Avocado</v>
      </c>
      <c r="G394" s="8" t="str">
        <f>IFERROR(__xludf.DUMMYFUNCTION("""COMPUTED_VALUE"""),"Avocat")</f>
        <v>Avocat</v>
      </c>
      <c r="H394" s="8" t="str">
        <f>IFERROR(__xludf.DUMMYFUNCTION("""COMPUTED_VALUE"""),"Avocado")</f>
        <v>Avocado</v>
      </c>
      <c r="I394" s="8" t="str">
        <f>IFERROR(__xludf.DUMMYFUNCTION("""COMPUTED_VALUE"""),"034")</f>
        <v>034</v>
      </c>
      <c r="J394" s="8"/>
      <c r="K394" s="8"/>
      <c r="L394" s="8">
        <f>IFERROR(__xludf.DUMMYFUNCTION("""COMPUTED_VALUE"""),1.0)</f>
        <v>1</v>
      </c>
      <c r="M394" s="8">
        <f>IFERROR(__xludf.DUMMYFUNCTION("""COMPUTED_VALUE"""),0.0)</f>
        <v>0</v>
      </c>
      <c r="N394" s="8">
        <f>IFERROR(__xludf.DUMMYFUNCTION("""COMPUTED_VALUE"""),0.0)</f>
        <v>0</v>
      </c>
      <c r="O394" s="8"/>
      <c r="P394" s="8"/>
      <c r="Q394" s="8"/>
      <c r="R394" s="8"/>
      <c r="S394" s="8"/>
      <c r="T394" s="8"/>
      <c r="U394" s="8"/>
      <c r="V394" s="8"/>
      <c r="W394" s="8"/>
      <c r="X394" s="8"/>
      <c r="Y394" s="8"/>
      <c r="Z394" s="8"/>
    </row>
    <row r="395">
      <c r="A395" s="8">
        <f>IFERROR(__xludf.DUMMYFUNCTION("""COMPUTED_VALUE"""),726.0)</f>
        <v>726</v>
      </c>
      <c r="B395" s="8" t="str">
        <f>IFERROR(__xludf.DUMMYFUNCTION("""COMPUTED_VALUE"""),"tree")</f>
        <v>tree</v>
      </c>
      <c r="C395" s="8" t="str">
        <f>IFERROR(__xludf.DUMMYFUNCTION("""COMPUTED_VALUE"""),"graft")</f>
        <v>graft</v>
      </c>
      <c r="D395" s="55" t="str">
        <f>IFERROR(__xludf.DUMMYFUNCTION("""COMPUTED_VALUE"""),"Persea americana")</f>
        <v>Persea americana</v>
      </c>
      <c r="E395" s="8" t="str">
        <f>IFERROR(__xludf.DUMMYFUNCTION("""COMPUTED_VALUE"""),"Catalina")</f>
        <v>Catalina</v>
      </c>
      <c r="F395" s="8" t="str">
        <f>IFERROR(__xludf.DUMMYFUNCTION("""COMPUTED_VALUE"""),"Avocado")</f>
        <v>Avocado</v>
      </c>
      <c r="G395" s="8" t="str">
        <f>IFERROR(__xludf.DUMMYFUNCTION("""COMPUTED_VALUE"""),"Avocat")</f>
        <v>Avocat</v>
      </c>
      <c r="H395" s="8" t="str">
        <f>IFERROR(__xludf.DUMMYFUNCTION("""COMPUTED_VALUE"""),"Avocado")</f>
        <v>Avocado</v>
      </c>
      <c r="I395" s="8"/>
      <c r="J395" s="8"/>
      <c r="K395" s="8"/>
      <c r="L395" s="8">
        <f>IFERROR(__xludf.DUMMYFUNCTION("""COMPUTED_VALUE"""),1.0)</f>
        <v>1</v>
      </c>
      <c r="M395" s="8">
        <f>IFERROR(__xludf.DUMMYFUNCTION("""COMPUTED_VALUE"""),0.0)</f>
        <v>0</v>
      </c>
      <c r="N395" s="8">
        <f>IFERROR(__xludf.DUMMYFUNCTION("""COMPUTED_VALUE"""),0.0)</f>
        <v>0</v>
      </c>
      <c r="O395" s="8"/>
      <c r="P395" s="8"/>
      <c r="Q395" s="8"/>
      <c r="R395" s="8"/>
      <c r="S395" s="8"/>
      <c r="T395" s="8"/>
      <c r="U395" s="8"/>
      <c r="V395" s="8"/>
      <c r="W395" s="8"/>
      <c r="X395" s="8"/>
      <c r="Y395" s="8"/>
      <c r="Z395" s="8"/>
    </row>
    <row r="396">
      <c r="A396" s="8">
        <f>IFERROR(__xludf.DUMMYFUNCTION("""COMPUTED_VALUE"""),727.0)</f>
        <v>727</v>
      </c>
      <c r="B396" s="8" t="str">
        <f>IFERROR(__xludf.DUMMYFUNCTION("""COMPUTED_VALUE"""),"tree")</f>
        <v>tree</v>
      </c>
      <c r="C396" s="8" t="str">
        <f>IFERROR(__xludf.DUMMYFUNCTION("""COMPUTED_VALUE"""),"graft")</f>
        <v>graft</v>
      </c>
      <c r="D396" s="55" t="str">
        <f>IFERROR(__xludf.DUMMYFUNCTION("""COMPUTED_VALUE"""),"Persea americana")</f>
        <v>Persea americana</v>
      </c>
      <c r="E396" s="8" t="str">
        <f>IFERROR(__xludf.DUMMYFUNCTION("""COMPUTED_VALUE"""),"Oro Negro")</f>
        <v>Oro Negro</v>
      </c>
      <c r="F396" s="8" t="str">
        <f>IFERROR(__xludf.DUMMYFUNCTION("""COMPUTED_VALUE"""),"Avocado")</f>
        <v>Avocado</v>
      </c>
      <c r="G396" s="8" t="str">
        <f>IFERROR(__xludf.DUMMYFUNCTION("""COMPUTED_VALUE"""),"Avocat")</f>
        <v>Avocat</v>
      </c>
      <c r="H396" s="8" t="str">
        <f>IFERROR(__xludf.DUMMYFUNCTION("""COMPUTED_VALUE"""),"Avocado")</f>
        <v>Avocado</v>
      </c>
      <c r="I396" s="8"/>
      <c r="J396" s="8"/>
      <c r="K396" s="8"/>
      <c r="L396" s="8">
        <f>IFERROR(__xludf.DUMMYFUNCTION("""COMPUTED_VALUE"""),1.0)</f>
        <v>1</v>
      </c>
      <c r="M396" s="8">
        <f>IFERROR(__xludf.DUMMYFUNCTION("""COMPUTED_VALUE"""),0.0)</f>
        <v>0</v>
      </c>
      <c r="N396" s="8">
        <f>IFERROR(__xludf.DUMMYFUNCTION("""COMPUTED_VALUE"""),1.0)</f>
        <v>1</v>
      </c>
      <c r="O396" s="8"/>
      <c r="P396" s="8"/>
      <c r="Q396" s="8"/>
      <c r="R396" s="8"/>
      <c r="S396" s="8"/>
      <c r="T396" s="8"/>
      <c r="U396" s="8"/>
      <c r="V396" s="8"/>
      <c r="W396" s="8"/>
      <c r="X396" s="8"/>
      <c r="Y396" s="8"/>
      <c r="Z396" s="8"/>
    </row>
    <row r="397">
      <c r="A397" s="8">
        <f>IFERROR(__xludf.DUMMYFUNCTION("""COMPUTED_VALUE"""),728.0)</f>
        <v>728</v>
      </c>
      <c r="B397" s="8" t="str">
        <f>IFERROR(__xludf.DUMMYFUNCTION("""COMPUTED_VALUE"""),"tree")</f>
        <v>tree</v>
      </c>
      <c r="C397" s="8" t="str">
        <f>IFERROR(__xludf.DUMMYFUNCTION("""COMPUTED_VALUE"""),"graft")</f>
        <v>graft</v>
      </c>
      <c r="D397" s="55" t="str">
        <f>IFERROR(__xludf.DUMMYFUNCTION("""COMPUTED_VALUE"""),"Persea americana")</f>
        <v>Persea americana</v>
      </c>
      <c r="E397" s="8" t="str">
        <f>IFERROR(__xludf.DUMMYFUNCTION("""COMPUTED_VALUE"""),"Willing")</f>
        <v>Willing</v>
      </c>
      <c r="F397" s="8" t="str">
        <f>IFERROR(__xludf.DUMMYFUNCTION("""COMPUTED_VALUE"""),"Avocado")</f>
        <v>Avocado</v>
      </c>
      <c r="G397" s="8" t="str">
        <f>IFERROR(__xludf.DUMMYFUNCTION("""COMPUTED_VALUE"""),"Avocat")</f>
        <v>Avocat</v>
      </c>
      <c r="H397" s="8" t="str">
        <f>IFERROR(__xludf.DUMMYFUNCTION("""COMPUTED_VALUE"""),"seed")</f>
        <v>seed</v>
      </c>
      <c r="I397" s="8" t="str">
        <f>IFERROR(__xludf.DUMMYFUNCTION("""COMPUTED_VALUE"""),"109")</f>
        <v>109</v>
      </c>
      <c r="J397" s="8"/>
      <c r="K397" s="8"/>
      <c r="L397" s="8">
        <f>IFERROR(__xludf.DUMMYFUNCTION("""COMPUTED_VALUE"""),1.0)</f>
        <v>1</v>
      </c>
      <c r="M397" s="8">
        <f>IFERROR(__xludf.DUMMYFUNCTION("""COMPUTED_VALUE"""),0.0)</f>
        <v>0</v>
      </c>
      <c r="N397" s="8">
        <f>IFERROR(__xludf.DUMMYFUNCTION("""COMPUTED_VALUE"""),0.0)</f>
        <v>0</v>
      </c>
      <c r="O397" s="8"/>
      <c r="P397" s="8"/>
      <c r="Q397" s="8"/>
      <c r="R397" s="8"/>
      <c r="S397" s="8"/>
      <c r="T397" s="8"/>
      <c r="U397" s="8"/>
      <c r="V397" s="8"/>
      <c r="W397" s="8"/>
      <c r="X397" s="8"/>
      <c r="Y397" s="8"/>
      <c r="Z397" s="8"/>
    </row>
    <row r="398">
      <c r="A398" s="8">
        <f>IFERROR(__xludf.DUMMYFUNCTION("""COMPUTED_VALUE"""),729.0)</f>
        <v>729</v>
      </c>
      <c r="B398" s="8" t="str">
        <f>IFERROR(__xludf.DUMMYFUNCTION("""COMPUTED_VALUE"""),"tree")</f>
        <v>tree</v>
      </c>
      <c r="C398" s="8" t="str">
        <f>IFERROR(__xludf.DUMMYFUNCTION("""COMPUTED_VALUE"""),"graft")</f>
        <v>graft</v>
      </c>
      <c r="D398" s="55" t="str">
        <f>IFERROR(__xludf.DUMMYFUNCTION("""COMPUTED_VALUE"""),"Annona x atemoya")</f>
        <v>Annona x atemoya</v>
      </c>
      <c r="E398" s="8" t="str">
        <f>IFERROR(__xludf.DUMMYFUNCTION("""COMPUTED_VALUE"""),"Elly")</f>
        <v>Elly</v>
      </c>
      <c r="F398" s="8" t="str">
        <f>IFERROR(__xludf.DUMMYFUNCTION("""COMPUTED_VALUE"""),"Atemoya")</f>
        <v>Atemoya</v>
      </c>
      <c r="G398" s="8" t="str">
        <f>IFERROR(__xludf.DUMMYFUNCTION("""COMPUTED_VALUE"""),"Atemoya")</f>
        <v>Atemoya</v>
      </c>
      <c r="H398" s="8" t="str">
        <f>IFERROR(__xludf.DUMMYFUNCTION("""COMPUTED_VALUE"""),"Atemoya")</f>
        <v>Atemoya</v>
      </c>
      <c r="I398" s="8" t="str">
        <f>IFERROR(__xludf.DUMMYFUNCTION("""COMPUTED_VALUE"""),"125")</f>
        <v>125</v>
      </c>
      <c r="J398" s="8"/>
      <c r="K398" s="8"/>
      <c r="L398" s="8" t="str">
        <f>IFERROR(__xludf.DUMMYFUNCTION("""COMPUTED_VALUE"""),"multiple")</f>
        <v>multiple</v>
      </c>
      <c r="M398" s="8">
        <f>IFERROR(__xludf.DUMMYFUNCTION("""COMPUTED_VALUE"""),0.0)</f>
        <v>0</v>
      </c>
      <c r="N398" s="8">
        <f>IFERROR(__xludf.DUMMYFUNCTION("""COMPUTED_VALUE"""),0.0)</f>
        <v>0</v>
      </c>
      <c r="O398" s="8"/>
      <c r="P398" s="8"/>
      <c r="Q398" s="8"/>
      <c r="R398" s="8"/>
      <c r="S398" s="8"/>
      <c r="T398" s="8"/>
      <c r="U398" s="8"/>
      <c r="V398" s="8"/>
      <c r="W398" s="8"/>
      <c r="X398" s="8"/>
      <c r="Y398" s="8"/>
      <c r="Z398" s="8"/>
    </row>
    <row r="399">
      <c r="A399" s="8">
        <f>IFERROR(__xludf.DUMMYFUNCTION("""COMPUTED_VALUE"""),730.0)</f>
        <v>730</v>
      </c>
      <c r="B399" s="8" t="str">
        <f>IFERROR(__xludf.DUMMYFUNCTION("""COMPUTED_VALUE"""),"tree")</f>
        <v>tree</v>
      </c>
      <c r="C399" s="8" t="str">
        <f>IFERROR(__xludf.DUMMYFUNCTION("""COMPUTED_VALUE"""),"seed")</f>
        <v>seed</v>
      </c>
      <c r="D399" s="55" t="str">
        <f>IFERROR(__xludf.DUMMYFUNCTION("""COMPUTED_VALUE"""),"Garcinia humilis")</f>
        <v>Garcinia humilis</v>
      </c>
      <c r="E399" s="8"/>
      <c r="F399" s="8" t="str">
        <f>IFERROR(__xludf.DUMMYFUNCTION("""COMPUTED_VALUE"""),"Achacha")</f>
        <v>Achacha</v>
      </c>
      <c r="G399" s="8" t="str">
        <f>IFERROR(__xludf.DUMMYFUNCTION("""COMPUTED_VALUE"""),"Achacha")</f>
        <v>Achacha</v>
      </c>
      <c r="H399" s="8" t="str">
        <f>IFERROR(__xludf.DUMMYFUNCTION("""COMPUTED_VALUE"""),"Achacha")</f>
        <v>Achacha</v>
      </c>
      <c r="I399" s="8"/>
      <c r="J399" s="8"/>
      <c r="K399" s="8"/>
      <c r="L399" s="8"/>
      <c r="M399" s="8"/>
      <c r="N399" s="8"/>
      <c r="O399" s="8"/>
      <c r="P399" s="8"/>
      <c r="Q399" s="8"/>
      <c r="R399" s="8"/>
      <c r="S399" s="8"/>
      <c r="T399" s="8"/>
      <c r="U399" s="8"/>
      <c r="V399" s="8"/>
      <c r="W399" s="8"/>
      <c r="X399" s="8"/>
      <c r="Y399" s="8"/>
      <c r="Z399" s="8"/>
    </row>
    <row r="400">
      <c r="A400" s="8">
        <f>IFERROR(__xludf.DUMMYFUNCTION("""COMPUTED_VALUE"""),731.0)</f>
        <v>731</v>
      </c>
      <c r="B400" s="8" t="str">
        <f>IFERROR(__xludf.DUMMYFUNCTION("""COMPUTED_VALUE"""),"tree")</f>
        <v>tree</v>
      </c>
      <c r="C400" s="8" t="str">
        <f>IFERROR(__xludf.DUMMYFUNCTION("""COMPUTED_VALUE"""),"graft")</f>
        <v>graft</v>
      </c>
      <c r="D400" s="55" t="str">
        <f>IFERROR(__xludf.DUMMYFUNCTION("""COMPUTED_VALUE"""),"Pouteria campechiana")</f>
        <v>Pouteria campechiana</v>
      </c>
      <c r="E400" s="8" t="str">
        <f>IFERROR(__xludf.DUMMYFUNCTION("""COMPUTED_VALUE"""),"Fairchild #2")</f>
        <v>Fairchild #2</v>
      </c>
      <c r="F400" s="8" t="str">
        <f>IFERROR(__xludf.DUMMYFUNCTION("""COMPUTED_VALUE"""),"Canistel")</f>
        <v>Canistel</v>
      </c>
      <c r="G400" s="8" t="str">
        <f>IFERROR(__xludf.DUMMYFUNCTION("""COMPUTED_VALUE"""),"Canistel")</f>
        <v>Canistel</v>
      </c>
      <c r="H400" s="8" t="str">
        <f>IFERROR(__xludf.DUMMYFUNCTION("""COMPUTED_VALUE"""),"Canistel")</f>
        <v>Canistel</v>
      </c>
      <c r="I400" s="8" t="str">
        <f>IFERROR(__xludf.DUMMYFUNCTION("""COMPUTED_VALUE"""),"216")</f>
        <v>216</v>
      </c>
      <c r="J400" s="8"/>
      <c r="K400" s="8"/>
      <c r="L400" s="8" t="str">
        <f>IFERROR(__xludf.DUMMYFUNCTION("""COMPUTED_VALUE"""),"multiple")</f>
        <v>multiple</v>
      </c>
      <c r="M400" s="8">
        <f>IFERROR(__xludf.DUMMYFUNCTION("""COMPUTED_VALUE"""),1.0)</f>
        <v>1</v>
      </c>
      <c r="N400" s="8">
        <f>IFERROR(__xludf.DUMMYFUNCTION("""COMPUTED_VALUE"""),1.0)</f>
        <v>1</v>
      </c>
      <c r="O400" s="8"/>
      <c r="P400" s="8"/>
      <c r="Q400" s="8"/>
      <c r="R400" s="8"/>
      <c r="S400" s="8"/>
      <c r="T400" s="8"/>
      <c r="U400" s="8"/>
      <c r="V400" s="8"/>
      <c r="W400" s="8"/>
      <c r="X400" s="8"/>
      <c r="Y400" s="8"/>
      <c r="Z400" s="8"/>
    </row>
    <row r="401">
      <c r="A401" s="8">
        <f>IFERROR(__xludf.DUMMYFUNCTION("""COMPUTED_VALUE"""),732.0)</f>
        <v>732</v>
      </c>
      <c r="B401" s="8" t="str">
        <f>IFERROR(__xludf.DUMMYFUNCTION("""COMPUTED_VALUE"""),"tree")</f>
        <v>tree</v>
      </c>
      <c r="C401" s="8" t="str">
        <f>IFERROR(__xludf.DUMMYFUNCTION("""COMPUTED_VALUE"""),"graft")</f>
        <v>graft</v>
      </c>
      <c r="D401" s="55" t="str">
        <f>IFERROR(__xludf.DUMMYFUNCTION("""COMPUTED_VALUE"""),"Persea americana")</f>
        <v>Persea americana</v>
      </c>
      <c r="E401" s="8" t="str">
        <f>IFERROR(__xludf.DUMMYFUNCTION("""COMPUTED_VALUE"""),"Expedition")</f>
        <v>Expedition</v>
      </c>
      <c r="F401" s="8" t="str">
        <f>IFERROR(__xludf.DUMMYFUNCTION("""COMPUTED_VALUE"""),"Avocado")</f>
        <v>Avocado</v>
      </c>
      <c r="G401" s="8" t="str">
        <f>IFERROR(__xludf.DUMMYFUNCTION("""COMPUTED_VALUE"""),"Avocat")</f>
        <v>Avocat</v>
      </c>
      <c r="H401" s="8" t="str">
        <f>IFERROR(__xludf.DUMMYFUNCTION("""COMPUTED_VALUE"""),"Avocado")</f>
        <v>Avocado</v>
      </c>
      <c r="I401" s="8" t="str">
        <f>IFERROR(__xludf.DUMMYFUNCTION("""COMPUTED_VALUE"""),"047")</f>
        <v>047</v>
      </c>
      <c r="J401" s="8"/>
      <c r="K401" s="8"/>
      <c r="L401" s="8">
        <f>IFERROR(__xludf.DUMMYFUNCTION("""COMPUTED_VALUE"""),1.0)</f>
        <v>1</v>
      </c>
      <c r="M401" s="8">
        <f>IFERROR(__xludf.DUMMYFUNCTION("""COMPUTED_VALUE"""),2.0)</f>
        <v>2</v>
      </c>
      <c r="N401" s="8">
        <f>IFERROR(__xludf.DUMMYFUNCTION("""COMPUTED_VALUE"""),2.0)</f>
        <v>2</v>
      </c>
      <c r="O401" s="8"/>
      <c r="P401" s="8"/>
      <c r="Q401" s="8"/>
      <c r="R401" s="8"/>
      <c r="S401" s="8"/>
      <c r="T401" s="8"/>
      <c r="U401" s="8"/>
      <c r="V401" s="8"/>
      <c r="W401" s="8"/>
      <c r="X401" s="8"/>
      <c r="Y401" s="8"/>
      <c r="Z401" s="8"/>
    </row>
    <row r="402">
      <c r="A402" s="8">
        <f>IFERROR(__xludf.DUMMYFUNCTION("""COMPUTED_VALUE"""),733.0)</f>
        <v>733</v>
      </c>
      <c r="B402" s="8" t="str">
        <f>IFERROR(__xludf.DUMMYFUNCTION("""COMPUTED_VALUE"""),"tree")</f>
        <v>tree</v>
      </c>
      <c r="C402" s="8" t="str">
        <f>IFERROR(__xludf.DUMMYFUNCTION("""COMPUTED_VALUE"""),"graft")</f>
        <v>graft</v>
      </c>
      <c r="D402" s="55" t="str">
        <f>IFERROR(__xludf.DUMMYFUNCTION("""COMPUTED_VALUE"""),"Artocarpus heterophyllus")</f>
        <v>Artocarpus heterophyllus</v>
      </c>
      <c r="E402" s="8" t="str">
        <f>IFERROR(__xludf.DUMMYFUNCTION("""COMPUTED_VALUE"""),"Cheena")</f>
        <v>Cheena</v>
      </c>
      <c r="F402" s="8" t="str">
        <f>IFERROR(__xludf.DUMMYFUNCTION("""COMPUTED_VALUE"""),"Jackfruit")</f>
        <v>Jackfruit</v>
      </c>
      <c r="G402" s="8" t="str">
        <f>IFERROR(__xludf.DUMMYFUNCTION("""COMPUTED_VALUE"""),"Jacquier")</f>
        <v>Jacquier</v>
      </c>
      <c r="H402" s="8" t="str">
        <f>IFERROR(__xludf.DUMMYFUNCTION("""COMPUTED_VALUE"""),"Jackfruit")</f>
        <v>Jackfruit</v>
      </c>
      <c r="I402" s="8" t="str">
        <f>IFERROR(__xludf.DUMMYFUNCTION("""COMPUTED_VALUE"""),"135")</f>
        <v>135</v>
      </c>
      <c r="J402" s="8"/>
      <c r="K402" s="8"/>
      <c r="L402" s="8" t="str">
        <f>IFERROR(__xludf.DUMMYFUNCTION("""COMPUTED_VALUE"""),"multiple")</f>
        <v>multiple</v>
      </c>
      <c r="M402" s="8">
        <f>IFERROR(__xludf.DUMMYFUNCTION("""COMPUTED_VALUE"""),1.0)</f>
        <v>1</v>
      </c>
      <c r="N402" s="8">
        <f>IFERROR(__xludf.DUMMYFUNCTION("""COMPUTED_VALUE"""),1.0)</f>
        <v>1</v>
      </c>
      <c r="O402" s="8"/>
      <c r="P402" s="8"/>
      <c r="Q402" s="8"/>
      <c r="R402" s="8"/>
      <c r="S402" s="8"/>
      <c r="T402" s="8"/>
      <c r="U402" s="8"/>
      <c r="V402" s="8"/>
      <c r="W402" s="8"/>
      <c r="X402" s="8"/>
      <c r="Y402" s="8"/>
      <c r="Z402" s="8"/>
    </row>
    <row r="403">
      <c r="A403" s="8">
        <f>IFERROR(__xludf.DUMMYFUNCTION("""COMPUTED_VALUE"""),734.0)</f>
        <v>734</v>
      </c>
      <c r="B403" s="8" t="str">
        <f>IFERROR(__xludf.DUMMYFUNCTION("""COMPUTED_VALUE"""),"tree")</f>
        <v>tree</v>
      </c>
      <c r="C403" s="8" t="str">
        <f>IFERROR(__xludf.DUMMYFUNCTION("""COMPUTED_VALUE"""),"graft")</f>
        <v>graft</v>
      </c>
      <c r="D403" s="55" t="str">
        <f>IFERROR(__xludf.DUMMYFUNCTION("""COMPUTED_VALUE"""),"Persea americana")</f>
        <v>Persea americana</v>
      </c>
      <c r="E403" s="8" t="str">
        <f>IFERROR(__xludf.DUMMYFUNCTION("""COMPUTED_VALUE"""),"Lula")</f>
        <v>Lula</v>
      </c>
      <c r="F403" s="8" t="str">
        <f>IFERROR(__xludf.DUMMYFUNCTION("""COMPUTED_VALUE"""),"Avocado")</f>
        <v>Avocado</v>
      </c>
      <c r="G403" s="8" t="str">
        <f>IFERROR(__xludf.DUMMYFUNCTION("""COMPUTED_VALUE"""),"Avocat")</f>
        <v>Avocat</v>
      </c>
      <c r="H403" s="8" t="str">
        <f>IFERROR(__xludf.DUMMYFUNCTION("""COMPUTED_VALUE"""),"Avocado")</f>
        <v>Avocado</v>
      </c>
      <c r="I403" s="8"/>
      <c r="J403" s="8"/>
      <c r="K403" s="8"/>
      <c r="L403" s="8">
        <f>IFERROR(__xludf.DUMMYFUNCTION("""COMPUTED_VALUE"""),1.0)</f>
        <v>1</v>
      </c>
      <c r="M403" s="8">
        <f>IFERROR(__xludf.DUMMYFUNCTION("""COMPUTED_VALUE"""),0.0)</f>
        <v>0</v>
      </c>
      <c r="N403" s="8">
        <f>IFERROR(__xludf.DUMMYFUNCTION("""COMPUTED_VALUE"""),0.0)</f>
        <v>0</v>
      </c>
      <c r="O403" s="8"/>
      <c r="P403" s="8"/>
      <c r="Q403" s="8"/>
      <c r="R403" s="8"/>
      <c r="S403" s="8"/>
      <c r="T403" s="8"/>
      <c r="U403" s="8"/>
      <c r="V403" s="8"/>
      <c r="W403" s="8"/>
      <c r="X403" s="8"/>
      <c r="Y403" s="8"/>
      <c r="Z403" s="8"/>
    </row>
    <row r="404">
      <c r="A404" s="8">
        <f>IFERROR(__xludf.DUMMYFUNCTION("""COMPUTED_VALUE"""),735.0)</f>
        <v>735</v>
      </c>
      <c r="B404" s="8" t="str">
        <f>IFERROR(__xludf.DUMMYFUNCTION("""COMPUTED_VALUE"""),"plant_other")</f>
        <v>plant_other</v>
      </c>
      <c r="C404" s="8" t="str">
        <f>IFERROR(__xludf.DUMMYFUNCTION("""COMPUTED_VALUE"""),"rhizome")</f>
        <v>rhizome</v>
      </c>
      <c r="D404" s="55" t="str">
        <f>IFERROR(__xludf.DUMMYFUNCTION("""COMPUTED_VALUE"""),"Curcuma caesia")</f>
        <v>Curcuma caesia</v>
      </c>
      <c r="E404" s="8" t="str">
        <f>IFERROR(__xludf.DUMMYFUNCTION("""COMPUTED_VALUE"""),"Black Night")</f>
        <v>Black Night</v>
      </c>
      <c r="F404" s="8" t="str">
        <f>IFERROR(__xludf.DUMMYFUNCTION("""COMPUTED_VALUE"""),"Turmeric")</f>
        <v>Turmeric</v>
      </c>
      <c r="G404" s="8" t="str">
        <f>IFERROR(__xludf.DUMMYFUNCTION("""COMPUTED_VALUE"""),"Curcuma noir")</f>
        <v>Curcuma noir</v>
      </c>
      <c r="H404" s="8" t="str">
        <f>IFERROR(__xludf.DUMMYFUNCTION("""COMPUTED_VALUE"""),"Black Turmeric")</f>
        <v>Black Turmeric</v>
      </c>
      <c r="I404" s="8"/>
      <c r="J404" s="8"/>
      <c r="K404" s="8"/>
      <c r="L404" s="8"/>
      <c r="M404" s="8">
        <f>IFERROR(__xludf.DUMMYFUNCTION("""COMPUTED_VALUE"""),0.0)</f>
        <v>0</v>
      </c>
      <c r="N404" s="8">
        <f>IFERROR(__xludf.DUMMYFUNCTION("""COMPUTED_VALUE"""),1.0)</f>
        <v>1</v>
      </c>
      <c r="O404" s="8"/>
      <c r="P404" s="8"/>
      <c r="Q404" s="8"/>
      <c r="R404" s="8"/>
      <c r="S404" s="8"/>
      <c r="T404" s="8"/>
      <c r="U404" s="8"/>
      <c r="V404" s="8"/>
      <c r="W404" s="8"/>
      <c r="X404" s="8"/>
      <c r="Y404" s="8"/>
      <c r="Z404" s="8"/>
    </row>
    <row r="405">
      <c r="A405" s="8">
        <f>IFERROR(__xludf.DUMMYFUNCTION("""COMPUTED_VALUE"""),736.0)</f>
        <v>736</v>
      </c>
      <c r="B405" s="8" t="str">
        <f>IFERROR(__xludf.DUMMYFUNCTION("""COMPUTED_VALUE"""),"tree")</f>
        <v>tree</v>
      </c>
      <c r="C405" s="8" t="str">
        <f>IFERROR(__xludf.DUMMYFUNCTION("""COMPUTED_VALUE"""),"graft")</f>
        <v>graft</v>
      </c>
      <c r="D405" s="55" t="str">
        <f>IFERROR(__xludf.DUMMYFUNCTION("""COMPUTED_VALUE"""),"Manilkara zapota")</f>
        <v>Manilkara zapota</v>
      </c>
      <c r="E405" s="8" t="str">
        <f>IFERROR(__xludf.DUMMYFUNCTION("""COMPUTED_VALUE"""),"Brown Sugar")</f>
        <v>Brown Sugar</v>
      </c>
      <c r="F405" s="8" t="str">
        <f>IFERROR(__xludf.DUMMYFUNCTION("""COMPUTED_VALUE"""),"Sapodilla")</f>
        <v>Sapodilla</v>
      </c>
      <c r="G405" s="8" t="str">
        <f>IFERROR(__xludf.DUMMYFUNCTION("""COMPUTED_VALUE"""),"Sapotille")</f>
        <v>Sapotille</v>
      </c>
      <c r="H405" s="8" t="str">
        <f>IFERROR(__xludf.DUMMYFUNCTION("""COMPUTED_VALUE"""),"Sapodilla")</f>
        <v>Sapodilla</v>
      </c>
      <c r="I405" s="8" t="str">
        <f>IFERROR(__xludf.DUMMYFUNCTION("""COMPUTED_VALUE"""),"187")</f>
        <v>187</v>
      </c>
      <c r="J405" s="8"/>
      <c r="K405" s="8"/>
      <c r="L405" s="8" t="str">
        <f>IFERROR(__xludf.DUMMYFUNCTION("""COMPUTED_VALUE"""),"multiple")</f>
        <v>multiple</v>
      </c>
      <c r="M405" s="8">
        <f>IFERROR(__xludf.DUMMYFUNCTION("""COMPUTED_VALUE"""),1.0)</f>
        <v>1</v>
      </c>
      <c r="N405" s="8">
        <f>IFERROR(__xludf.DUMMYFUNCTION("""COMPUTED_VALUE"""),1.0)</f>
        <v>1</v>
      </c>
      <c r="O405" s="8"/>
      <c r="P405" s="8"/>
      <c r="Q405" s="8"/>
      <c r="R405" s="8"/>
      <c r="S405" s="8"/>
      <c r="T405" s="8"/>
      <c r="U405" s="8"/>
      <c r="V405" s="8"/>
      <c r="W405" s="8"/>
      <c r="X405" s="8"/>
      <c r="Y405" s="8"/>
      <c r="Z405" s="8"/>
    </row>
    <row r="406">
      <c r="A406" s="8">
        <f>IFERROR(__xludf.DUMMYFUNCTION("""COMPUTED_VALUE"""),737.0)</f>
        <v>737</v>
      </c>
      <c r="B406" s="8" t="str">
        <f>IFERROR(__xludf.DUMMYFUNCTION("""COMPUTED_VALUE"""),"tree")</f>
        <v>tree</v>
      </c>
      <c r="C406" s="8" t="str">
        <f>IFERROR(__xludf.DUMMYFUNCTION("""COMPUTED_VALUE"""),"graft")</f>
        <v>graft</v>
      </c>
      <c r="D406" s="55" t="str">
        <f>IFERROR(__xludf.DUMMYFUNCTION("""COMPUTED_VALUE"""),"Pouteria campechiana")</f>
        <v>Pouteria campechiana</v>
      </c>
      <c r="E406" s="8" t="str">
        <f>IFERROR(__xludf.DUMMYFUNCTION("""COMPUTED_VALUE"""),"Seedling")</f>
        <v>Seedling</v>
      </c>
      <c r="F406" s="8" t="str">
        <f>IFERROR(__xludf.DUMMYFUNCTION("""COMPUTED_VALUE"""),"Canistel")</f>
        <v>Canistel</v>
      </c>
      <c r="G406" s="8" t="str">
        <f>IFERROR(__xludf.DUMMYFUNCTION("""COMPUTED_VALUE"""),"Canistel")</f>
        <v>Canistel</v>
      </c>
      <c r="H406" s="8" t="str">
        <f>IFERROR(__xludf.DUMMYFUNCTION("""COMPUTED_VALUE"""),"seed")</f>
        <v>seed</v>
      </c>
      <c r="I406" s="8" t="str">
        <f>IFERROR(__xludf.DUMMYFUNCTION("""COMPUTED_VALUE"""),"Give to Mamadi")</f>
        <v>Give to Mamadi</v>
      </c>
      <c r="J406" s="8"/>
      <c r="K406" s="8"/>
      <c r="L406" s="8" t="str">
        <f>IFERROR(__xludf.DUMMYFUNCTION("""COMPUTED_VALUE"""),"multiple")</f>
        <v>multiple</v>
      </c>
      <c r="M406" s="8">
        <f>IFERROR(__xludf.DUMMYFUNCTION("""COMPUTED_VALUE"""),4.0)</f>
        <v>4</v>
      </c>
      <c r="N406" s="8">
        <f>IFERROR(__xludf.DUMMYFUNCTION("""COMPUTED_VALUE"""),8.0)</f>
        <v>8</v>
      </c>
      <c r="O406" s="8"/>
      <c r="P406" s="8"/>
      <c r="Q406" s="8"/>
      <c r="R406" s="8"/>
      <c r="S406" s="8"/>
      <c r="T406" s="8"/>
      <c r="U406" s="8"/>
      <c r="V406" s="8"/>
      <c r="W406" s="8"/>
      <c r="X406" s="8"/>
      <c r="Y406" s="8"/>
      <c r="Z406" s="8"/>
    </row>
    <row r="407">
      <c r="A407" s="8">
        <f>IFERROR(__xludf.DUMMYFUNCTION("""COMPUTED_VALUE"""),738.0)</f>
        <v>738</v>
      </c>
      <c r="B407" s="8" t="str">
        <f>IFERROR(__xludf.DUMMYFUNCTION("""COMPUTED_VALUE"""),"tree")</f>
        <v>tree</v>
      </c>
      <c r="C407" s="8" t="str">
        <f>IFERROR(__xludf.DUMMYFUNCTION("""COMPUTED_VALUE"""),"graft")</f>
        <v>graft</v>
      </c>
      <c r="D407" s="55" t="str">
        <f>IFERROR(__xludf.DUMMYFUNCTION("""COMPUTED_VALUE"""),"Pouteria campechiana")</f>
        <v>Pouteria campechiana</v>
      </c>
      <c r="E407" s="8" t="str">
        <f>IFERROR(__xludf.DUMMYFUNCTION("""COMPUTED_VALUE"""),"Seedling")</f>
        <v>Seedling</v>
      </c>
      <c r="F407" s="8" t="str">
        <f>IFERROR(__xludf.DUMMYFUNCTION("""COMPUTED_VALUE"""),"Canistel")</f>
        <v>Canistel</v>
      </c>
      <c r="G407" s="8" t="str">
        <f>IFERROR(__xludf.DUMMYFUNCTION("""COMPUTED_VALUE"""),"Canistel")</f>
        <v>Canistel</v>
      </c>
      <c r="H407" s="8" t="str">
        <f>IFERROR(__xludf.DUMMYFUNCTION("""COMPUTED_VALUE"""),"seed")</f>
        <v>seed</v>
      </c>
      <c r="I407" s="8" t="str">
        <f>IFERROR(__xludf.DUMMYFUNCTION("""COMPUTED_VALUE"""),"Give to Mamadi")</f>
        <v>Give to Mamadi</v>
      </c>
      <c r="J407" s="8"/>
      <c r="K407" s="8"/>
      <c r="L407" s="8" t="str">
        <f>IFERROR(__xludf.DUMMYFUNCTION("""COMPUTED_VALUE"""),"multiple")</f>
        <v>multiple</v>
      </c>
      <c r="M407" s="8">
        <f>IFERROR(__xludf.DUMMYFUNCTION("""COMPUTED_VALUE"""),4.0)</f>
        <v>4</v>
      </c>
      <c r="N407" s="8">
        <f>IFERROR(__xludf.DUMMYFUNCTION("""COMPUTED_VALUE"""),8.0)</f>
        <v>8</v>
      </c>
      <c r="O407" s="8"/>
      <c r="P407" s="8"/>
      <c r="Q407" s="8"/>
      <c r="R407" s="8"/>
      <c r="S407" s="8"/>
      <c r="T407" s="8"/>
      <c r="U407" s="8"/>
      <c r="V407" s="8"/>
      <c r="W407" s="8"/>
      <c r="X407" s="8"/>
      <c r="Y407" s="8"/>
      <c r="Z407" s="8"/>
    </row>
    <row r="408">
      <c r="A408" s="8">
        <f>IFERROR(__xludf.DUMMYFUNCTION("""COMPUTED_VALUE"""),739.0)</f>
        <v>739</v>
      </c>
      <c r="B408" s="8" t="str">
        <f>IFERROR(__xludf.DUMMYFUNCTION("""COMPUTED_VALUE"""),"tree")</f>
        <v>tree</v>
      </c>
      <c r="C408" s="8" t="str">
        <f>IFERROR(__xludf.DUMMYFUNCTION("""COMPUTED_VALUE"""),"graft")</f>
        <v>graft</v>
      </c>
      <c r="D408" s="55" t="str">
        <f>IFERROR(__xludf.DUMMYFUNCTION("""COMPUTED_VALUE"""),"Persea americana")</f>
        <v>Persea americana</v>
      </c>
      <c r="E408" s="8" t="str">
        <f>IFERROR(__xludf.DUMMYFUNCTION("""COMPUTED_VALUE"""),"Havaluu Hawaii")</f>
        <v>Havaluu Hawaii</v>
      </c>
      <c r="F408" s="8" t="str">
        <f>IFERROR(__xludf.DUMMYFUNCTION("""COMPUTED_VALUE"""),"Avocado")</f>
        <v>Avocado</v>
      </c>
      <c r="G408" s="8" t="str">
        <f>IFERROR(__xludf.DUMMYFUNCTION("""COMPUTED_VALUE"""),"Avocat")</f>
        <v>Avocat</v>
      </c>
      <c r="H408" s="8" t="str">
        <f>IFERROR(__xludf.DUMMYFUNCTION("""COMPUTED_VALUE"""),"Avocado")</f>
        <v>Avocado</v>
      </c>
      <c r="I408" s="8" t="str">
        <f>IFERROR(__xludf.DUMMYFUNCTION("""COMPUTED_VALUE"""),"205")</f>
        <v>205</v>
      </c>
      <c r="J408" s="8"/>
      <c r="K408" s="8"/>
      <c r="L408" s="8">
        <f>IFERROR(__xludf.DUMMYFUNCTION("""COMPUTED_VALUE"""),1.0)</f>
        <v>1</v>
      </c>
      <c r="M408" s="8">
        <f>IFERROR(__xludf.DUMMYFUNCTION("""COMPUTED_VALUE"""),1.0)</f>
        <v>1</v>
      </c>
      <c r="N408" s="8">
        <f>IFERROR(__xludf.DUMMYFUNCTION("""COMPUTED_VALUE"""),1.0)</f>
        <v>1</v>
      </c>
      <c r="O408" s="8"/>
      <c r="P408" s="8"/>
      <c r="Q408" s="8"/>
      <c r="R408" s="8"/>
      <c r="S408" s="8"/>
      <c r="T408" s="8"/>
      <c r="U408" s="8"/>
      <c r="V408" s="8"/>
      <c r="W408" s="8"/>
      <c r="X408" s="8"/>
      <c r="Y408" s="8"/>
      <c r="Z408" s="8"/>
    </row>
    <row r="409">
      <c r="A409" s="8">
        <f>IFERROR(__xludf.DUMMYFUNCTION("""COMPUTED_VALUE"""),740.0)</f>
        <v>740</v>
      </c>
      <c r="B409" s="8" t="str">
        <f>IFERROR(__xludf.DUMMYFUNCTION("""COMPUTED_VALUE"""),"tree")</f>
        <v>tree</v>
      </c>
      <c r="C409" s="8" t="str">
        <f>IFERROR(__xludf.DUMMYFUNCTION("""COMPUTED_VALUE"""),"graft")</f>
        <v>graft</v>
      </c>
      <c r="D409" s="55" t="str">
        <f>IFERROR(__xludf.DUMMYFUNCTION("""COMPUTED_VALUE"""),"Pouteria campechiana")</f>
        <v>Pouteria campechiana</v>
      </c>
      <c r="E409" s="8" t="str">
        <f>IFERROR(__xludf.DUMMYFUNCTION("""COMPUTED_VALUE"""),"Seedling")</f>
        <v>Seedling</v>
      </c>
      <c r="F409" s="8" t="str">
        <f>IFERROR(__xludf.DUMMYFUNCTION("""COMPUTED_VALUE"""),"Canistel")</f>
        <v>Canistel</v>
      </c>
      <c r="G409" s="8" t="str">
        <f>IFERROR(__xludf.DUMMYFUNCTION("""COMPUTED_VALUE"""),"Canistel")</f>
        <v>Canistel</v>
      </c>
      <c r="H409" s="8" t="str">
        <f>IFERROR(__xludf.DUMMYFUNCTION("""COMPUTED_VALUE"""),"seed")</f>
        <v>seed</v>
      </c>
      <c r="I409" s="8" t="str">
        <f>IFERROR(__xludf.DUMMYFUNCTION("""COMPUTED_VALUE"""),"Give to Mamadi")</f>
        <v>Give to Mamadi</v>
      </c>
      <c r="J409" s="8"/>
      <c r="K409" s="8"/>
      <c r="L409" s="8" t="str">
        <f>IFERROR(__xludf.DUMMYFUNCTION("""COMPUTED_VALUE"""),"multiple")</f>
        <v>multiple</v>
      </c>
      <c r="M409" s="8">
        <f>IFERROR(__xludf.DUMMYFUNCTION("""COMPUTED_VALUE"""),4.0)</f>
        <v>4</v>
      </c>
      <c r="N409" s="8">
        <f>IFERROR(__xludf.DUMMYFUNCTION("""COMPUTED_VALUE"""),8.0)</f>
        <v>8</v>
      </c>
      <c r="O409" s="8"/>
      <c r="P409" s="8"/>
      <c r="Q409" s="8"/>
      <c r="R409" s="8"/>
      <c r="S409" s="8"/>
      <c r="T409" s="8"/>
      <c r="U409" s="8"/>
      <c r="V409" s="8"/>
      <c r="W409" s="8"/>
      <c r="X409" s="8"/>
      <c r="Y409" s="8"/>
      <c r="Z409" s="8"/>
    </row>
    <row r="410">
      <c r="A410" s="8">
        <f>IFERROR(__xludf.DUMMYFUNCTION("""COMPUTED_VALUE"""),741.0)</f>
        <v>741</v>
      </c>
      <c r="B410" s="8" t="str">
        <f>IFERROR(__xludf.DUMMYFUNCTION("""COMPUTED_VALUE"""),"tree")</f>
        <v>tree</v>
      </c>
      <c r="C410" s="8" t="str">
        <f>IFERROR(__xludf.DUMMYFUNCTION("""COMPUTED_VALUE"""),"graft")</f>
        <v>graft</v>
      </c>
      <c r="D410" s="55" t="str">
        <f>IFERROR(__xludf.DUMMYFUNCTION("""COMPUTED_VALUE"""),"Persea americana")</f>
        <v>Persea americana</v>
      </c>
      <c r="E410" s="8" t="str">
        <f>IFERROR(__xludf.DUMMYFUNCTION("""COMPUTED_VALUE"""),"Waldin")</f>
        <v>Waldin</v>
      </c>
      <c r="F410" s="8" t="str">
        <f>IFERROR(__xludf.DUMMYFUNCTION("""COMPUTED_VALUE"""),"Avocado")</f>
        <v>Avocado</v>
      </c>
      <c r="G410" s="8" t="str">
        <f>IFERROR(__xludf.DUMMYFUNCTION("""COMPUTED_VALUE"""),"Avocat")</f>
        <v>Avocat</v>
      </c>
      <c r="H410" s="8" t="str">
        <f>IFERROR(__xludf.DUMMYFUNCTION("""COMPUTED_VALUE"""),"Avocado")</f>
        <v>Avocado</v>
      </c>
      <c r="I410" s="8" t="str">
        <f>IFERROR(__xludf.DUMMYFUNCTION("""COMPUTED_VALUE"""),"032A")</f>
        <v>032A</v>
      </c>
      <c r="J410" s="8"/>
      <c r="K410" s="8"/>
      <c r="L410" s="8">
        <f>IFERROR(__xludf.DUMMYFUNCTION("""COMPUTED_VALUE"""),1.0)</f>
        <v>1</v>
      </c>
      <c r="M410" s="8">
        <f>IFERROR(__xludf.DUMMYFUNCTION("""COMPUTED_VALUE"""),0.0)</f>
        <v>0</v>
      </c>
      <c r="N410" s="8">
        <f>IFERROR(__xludf.DUMMYFUNCTION("""COMPUTED_VALUE"""),0.0)</f>
        <v>0</v>
      </c>
      <c r="O410" s="8"/>
      <c r="P410" s="8"/>
      <c r="Q410" s="8"/>
      <c r="R410" s="8"/>
      <c r="S410" s="8"/>
      <c r="T410" s="8"/>
      <c r="U410" s="8"/>
      <c r="V410" s="8"/>
      <c r="W410" s="8"/>
      <c r="X410" s="8"/>
      <c r="Y410" s="8"/>
      <c r="Z410" s="8"/>
    </row>
    <row r="411">
      <c r="A411" s="8">
        <f>IFERROR(__xludf.DUMMYFUNCTION("""COMPUTED_VALUE"""),742.0)</f>
        <v>742</v>
      </c>
      <c r="B411" s="8" t="str">
        <f>IFERROR(__xludf.DUMMYFUNCTION("""COMPUTED_VALUE"""),"tree")</f>
        <v>tree</v>
      </c>
      <c r="C411" s="8" t="str">
        <f>IFERROR(__xludf.DUMMYFUNCTION("""COMPUTED_VALUE"""),"graft")</f>
        <v>graft</v>
      </c>
      <c r="D411" s="55" t="str">
        <f>IFERROR(__xludf.DUMMYFUNCTION("""COMPUTED_VALUE"""),"Persea americana")</f>
        <v>Persea americana</v>
      </c>
      <c r="E411" s="8" t="str">
        <f>IFERROR(__xludf.DUMMYFUNCTION("""COMPUTED_VALUE"""),"Nishikawa")</f>
        <v>Nishikawa</v>
      </c>
      <c r="F411" s="8" t="str">
        <f>IFERROR(__xludf.DUMMYFUNCTION("""COMPUTED_VALUE"""),"Avocado")</f>
        <v>Avocado</v>
      </c>
      <c r="G411" s="8" t="str">
        <f>IFERROR(__xludf.DUMMYFUNCTION("""COMPUTED_VALUE"""),"Avocat")</f>
        <v>Avocat</v>
      </c>
      <c r="H411" s="8" t="str">
        <f>IFERROR(__xludf.DUMMYFUNCTION("""COMPUTED_VALUE"""),"Avocado")</f>
        <v>Avocado</v>
      </c>
      <c r="I411" s="8"/>
      <c r="J411" s="8"/>
      <c r="K411" s="8"/>
      <c r="L411" s="8">
        <f>IFERROR(__xludf.DUMMYFUNCTION("""COMPUTED_VALUE"""),1.0)</f>
        <v>1</v>
      </c>
      <c r="M411" s="8">
        <f>IFERROR(__xludf.DUMMYFUNCTION("""COMPUTED_VALUE"""),0.0)</f>
        <v>0</v>
      </c>
      <c r="N411" s="8">
        <f>IFERROR(__xludf.DUMMYFUNCTION("""COMPUTED_VALUE"""),0.0)</f>
        <v>0</v>
      </c>
      <c r="O411" s="8"/>
      <c r="P411" s="8"/>
      <c r="Q411" s="8"/>
      <c r="R411" s="8"/>
      <c r="S411" s="8"/>
      <c r="T411" s="8"/>
      <c r="U411" s="8"/>
      <c r="V411" s="8"/>
      <c r="W411" s="8"/>
      <c r="X411" s="8"/>
      <c r="Y411" s="8"/>
      <c r="Z411" s="8"/>
    </row>
    <row r="412">
      <c r="A412" s="8">
        <f>IFERROR(__xludf.DUMMYFUNCTION("""COMPUTED_VALUE"""),743.0)</f>
        <v>743</v>
      </c>
      <c r="B412" s="8" t="str">
        <f>IFERROR(__xludf.DUMMYFUNCTION("""COMPUTED_VALUE"""),"tree")</f>
        <v>tree</v>
      </c>
      <c r="C412" s="8" t="str">
        <f>IFERROR(__xludf.DUMMYFUNCTION("""COMPUTED_VALUE"""),"graft")</f>
        <v>graft</v>
      </c>
      <c r="D412" s="55" t="str">
        <f>IFERROR(__xludf.DUMMYFUNCTION("""COMPUTED_VALUE"""),"Manilkara zapota")</f>
        <v>Manilkara zapota</v>
      </c>
      <c r="E412" s="8" t="str">
        <f>IFERROR(__xludf.DUMMYFUNCTION("""COMPUTED_VALUE"""),"Molix")</f>
        <v>Molix</v>
      </c>
      <c r="F412" s="8" t="str">
        <f>IFERROR(__xludf.DUMMYFUNCTION("""COMPUTED_VALUE"""),"Sapodilla")</f>
        <v>Sapodilla</v>
      </c>
      <c r="G412" s="8" t="str">
        <f>IFERROR(__xludf.DUMMYFUNCTION("""COMPUTED_VALUE"""),"Sapotille")</f>
        <v>Sapotille</v>
      </c>
      <c r="H412" s="8" t="str">
        <f>IFERROR(__xludf.DUMMYFUNCTION("""COMPUTED_VALUE"""),"Sapodilla")</f>
        <v>Sapodilla</v>
      </c>
      <c r="I412" s="8" t="str">
        <f>IFERROR(__xludf.DUMMYFUNCTION("""COMPUTED_VALUE"""),"173")</f>
        <v>173</v>
      </c>
      <c r="J412" s="8"/>
      <c r="K412" s="8"/>
      <c r="L412" s="8" t="str">
        <f>IFERROR(__xludf.DUMMYFUNCTION("""COMPUTED_VALUE"""),"multiple")</f>
        <v>multiple</v>
      </c>
      <c r="M412" s="8">
        <f>IFERROR(__xludf.DUMMYFUNCTION("""COMPUTED_VALUE"""),1.0)</f>
        <v>1</v>
      </c>
      <c r="N412" s="8">
        <f>IFERROR(__xludf.DUMMYFUNCTION("""COMPUTED_VALUE"""),1.0)</f>
        <v>1</v>
      </c>
      <c r="O412" s="8"/>
      <c r="P412" s="8"/>
      <c r="Q412" s="8"/>
      <c r="R412" s="8"/>
      <c r="S412" s="8"/>
      <c r="T412" s="8"/>
      <c r="U412" s="8"/>
      <c r="V412" s="8"/>
      <c r="W412" s="8"/>
      <c r="X412" s="8"/>
      <c r="Y412" s="8"/>
      <c r="Z412" s="8"/>
    </row>
    <row r="413">
      <c r="A413" s="8">
        <f>IFERROR(__xludf.DUMMYFUNCTION("""COMPUTED_VALUE"""),744.0)</f>
        <v>744</v>
      </c>
      <c r="B413" s="8" t="str">
        <f>IFERROR(__xludf.DUMMYFUNCTION("""COMPUTED_VALUE"""),"tree")</f>
        <v>tree</v>
      </c>
      <c r="C413" s="8" t="str">
        <f>IFERROR(__xludf.DUMMYFUNCTION("""COMPUTED_VALUE"""),"graft")</f>
        <v>graft</v>
      </c>
      <c r="D413" s="55" t="str">
        <f>IFERROR(__xludf.DUMMYFUNCTION("""COMPUTED_VALUE"""),"Pouteria campechiana")</f>
        <v>Pouteria campechiana</v>
      </c>
      <c r="E413" s="8" t="str">
        <f>IFERROR(__xludf.DUMMYFUNCTION("""COMPUTED_VALUE"""),"Seedling")</f>
        <v>Seedling</v>
      </c>
      <c r="F413" s="8" t="str">
        <f>IFERROR(__xludf.DUMMYFUNCTION("""COMPUTED_VALUE"""),"Canistel")</f>
        <v>Canistel</v>
      </c>
      <c r="G413" s="8" t="str">
        <f>IFERROR(__xludf.DUMMYFUNCTION("""COMPUTED_VALUE"""),"Canistel")</f>
        <v>Canistel</v>
      </c>
      <c r="H413" s="8" t="str">
        <f>IFERROR(__xludf.DUMMYFUNCTION("""COMPUTED_VALUE"""),"seed")</f>
        <v>seed</v>
      </c>
      <c r="I413" s="8" t="str">
        <f>IFERROR(__xludf.DUMMYFUNCTION("""COMPUTED_VALUE"""),"Give to Mamadi")</f>
        <v>Give to Mamadi</v>
      </c>
      <c r="J413" s="8"/>
      <c r="K413" s="8"/>
      <c r="L413" s="8" t="str">
        <f>IFERROR(__xludf.DUMMYFUNCTION("""COMPUTED_VALUE"""),"multiple")</f>
        <v>multiple</v>
      </c>
      <c r="M413" s="8">
        <f>IFERROR(__xludf.DUMMYFUNCTION("""COMPUTED_VALUE"""),4.0)</f>
        <v>4</v>
      </c>
      <c r="N413" s="8">
        <f>IFERROR(__xludf.DUMMYFUNCTION("""COMPUTED_VALUE"""),8.0)</f>
        <v>8</v>
      </c>
      <c r="O413" s="8"/>
      <c r="P413" s="8"/>
      <c r="Q413" s="8"/>
      <c r="R413" s="8"/>
      <c r="S413" s="8"/>
      <c r="T413" s="8"/>
      <c r="U413" s="8"/>
      <c r="V413" s="8"/>
      <c r="W413" s="8"/>
      <c r="X413" s="8"/>
      <c r="Y413" s="8"/>
      <c r="Z413" s="8"/>
    </row>
    <row r="414">
      <c r="A414" s="8">
        <f>IFERROR(__xludf.DUMMYFUNCTION("""COMPUTED_VALUE"""),745.0)</f>
        <v>745</v>
      </c>
      <c r="B414" s="8" t="str">
        <f>IFERROR(__xludf.DUMMYFUNCTION("""COMPUTED_VALUE"""),"tree")</f>
        <v>tree</v>
      </c>
      <c r="C414" s="8" t="str">
        <f>IFERROR(__xludf.DUMMYFUNCTION("""COMPUTED_VALUE"""),"graft")</f>
        <v>graft</v>
      </c>
      <c r="D414" s="8" t="str">
        <f>IFERROR(__xludf.DUMMYFUNCTION("""COMPUTED_VALUE"""),"Cola acuminata")</f>
        <v>Cola acuminata</v>
      </c>
      <c r="E414" s="8" t="str">
        <f>IFERROR(__xludf.DUMMYFUNCTION("""COMPUTED_VALUE"""),"Seedling")</f>
        <v>Seedling</v>
      </c>
      <c r="F414" s="8" t="str">
        <f>IFERROR(__xludf.DUMMYFUNCTION("""COMPUTED_VALUE"""),"Kola Nut")</f>
        <v>Kola Nut</v>
      </c>
      <c r="G414" s="8" t="str">
        <f>IFERROR(__xludf.DUMMYFUNCTION("""COMPUTED_VALUE"""),"Noix de Kola")</f>
        <v>Noix de Kola</v>
      </c>
      <c r="H414" s="8" t="str">
        <f>IFERROR(__xludf.DUMMYFUNCTION("""COMPUTED_VALUE"""),"seed")</f>
        <v>seed</v>
      </c>
      <c r="I414" s="8"/>
      <c r="J414" s="8"/>
      <c r="K414" s="8"/>
      <c r="L414" s="8">
        <f>IFERROR(__xludf.DUMMYFUNCTION("""COMPUTED_VALUE"""),1.0)</f>
        <v>1</v>
      </c>
      <c r="M414" s="8">
        <f>IFERROR(__xludf.DUMMYFUNCTION("""COMPUTED_VALUE"""),0.0)</f>
        <v>0</v>
      </c>
      <c r="N414" s="8">
        <f>IFERROR(__xludf.DUMMYFUNCTION("""COMPUTED_VALUE"""),0.0)</f>
        <v>0</v>
      </c>
      <c r="O414" s="8"/>
      <c r="P414" s="8"/>
      <c r="Q414" s="8"/>
      <c r="R414" s="8"/>
      <c r="S414" s="8"/>
      <c r="T414" s="8"/>
      <c r="U414" s="8"/>
      <c r="V414" s="8"/>
      <c r="W414" s="8"/>
      <c r="X414" s="8"/>
      <c r="Y414" s="8"/>
      <c r="Z414" s="8"/>
    </row>
    <row r="415">
      <c r="A415" s="8">
        <f>IFERROR(__xludf.DUMMYFUNCTION("""COMPUTED_VALUE"""),746.0)</f>
        <v>746</v>
      </c>
      <c r="B415" s="8" t="str">
        <f>IFERROR(__xludf.DUMMYFUNCTION("""COMPUTED_VALUE"""),"tree")</f>
        <v>tree</v>
      </c>
      <c r="C415" s="8" t="str">
        <f>IFERROR(__xludf.DUMMYFUNCTION("""COMPUTED_VALUE"""),"graft")</f>
        <v>graft</v>
      </c>
      <c r="D415" s="55" t="str">
        <f>IFERROR(__xludf.DUMMYFUNCTION("""COMPUTED_VALUE"""),"Mammea americana")</f>
        <v>Mammea americana</v>
      </c>
      <c r="E415" s="8" t="str">
        <f>IFERROR(__xludf.DUMMYFUNCTION("""COMPUTED_VALUE"""),"Seedling")</f>
        <v>Seedling</v>
      </c>
      <c r="F415" s="8" t="str">
        <f>IFERROR(__xludf.DUMMYFUNCTION("""COMPUTED_VALUE"""),"Mamey Apple")</f>
        <v>Mamey Apple</v>
      </c>
      <c r="G415" s="8" t="str">
        <f>IFERROR(__xludf.DUMMYFUNCTION("""COMPUTED_VALUE"""),"Abricot tropical/Pomme Mamey")</f>
        <v>Abricot tropical/Pomme Mamey</v>
      </c>
      <c r="H415" s="8" t="str">
        <f>IFERROR(__xludf.DUMMYFUNCTION("""COMPUTED_VALUE"""),"Canistel")</f>
        <v>Canistel</v>
      </c>
      <c r="I415" s="8" t="str">
        <f>IFERROR(__xludf.DUMMYFUNCTION("""COMPUTED_VALUE"""),"106A")</f>
        <v>106A</v>
      </c>
      <c r="J415" s="8"/>
      <c r="K415" s="8"/>
      <c r="L415" s="8">
        <f>IFERROR(__xludf.DUMMYFUNCTION("""COMPUTED_VALUE"""),1.0)</f>
        <v>1</v>
      </c>
      <c r="M415" s="8">
        <f>IFERROR(__xludf.DUMMYFUNCTION("""COMPUTED_VALUE"""),2.0)</f>
        <v>2</v>
      </c>
      <c r="N415" s="8">
        <f>IFERROR(__xludf.DUMMYFUNCTION("""COMPUTED_VALUE"""),3.0)</f>
        <v>3</v>
      </c>
      <c r="O415" s="8"/>
      <c r="P415" s="8"/>
      <c r="Q415" s="8"/>
      <c r="R415" s="8"/>
      <c r="S415" s="8"/>
      <c r="T415" s="8"/>
      <c r="U415" s="8"/>
      <c r="V415" s="8"/>
      <c r="W415" s="8"/>
      <c r="X415" s="8"/>
      <c r="Y415" s="8"/>
      <c r="Z415" s="8"/>
    </row>
    <row r="416">
      <c r="A416" s="8">
        <f>IFERROR(__xludf.DUMMYFUNCTION("""COMPUTED_VALUE"""),747.0)</f>
        <v>747</v>
      </c>
      <c r="B416" s="8" t="str">
        <f>IFERROR(__xludf.DUMMYFUNCTION("""COMPUTED_VALUE"""),"perennial")</f>
        <v>perennial</v>
      </c>
      <c r="C416" s="8" t="str">
        <f>IFERROR(__xludf.DUMMYFUNCTION("""COMPUTED_VALUE"""),"rhizome")</f>
        <v>rhizome</v>
      </c>
      <c r="D416" s="55" t="str">
        <f>IFERROR(__xludf.DUMMYFUNCTION("""COMPUTED_VALUE"""),"Bambusa textilis")</f>
        <v>Bambusa textilis</v>
      </c>
      <c r="E416" s="8" t="str">
        <f>IFERROR(__xludf.DUMMYFUNCTION("""COMPUTED_VALUE"""),"Gracilis")</f>
        <v>Gracilis</v>
      </c>
      <c r="F416" s="8" t="str">
        <f>IFERROR(__xludf.DUMMYFUNCTION("""COMPUTED_VALUE"""),"Graceful Bamboo")</f>
        <v>Graceful Bamboo</v>
      </c>
      <c r="G416" s="8" t="str">
        <f>IFERROR(__xludf.DUMMYFUNCTION("""COMPUTED_VALUE"""),"Bambou gracieux")</f>
        <v>Bambou gracieux</v>
      </c>
      <c r="H416" s="8" t="str">
        <f>IFERROR(__xludf.DUMMYFUNCTION("""COMPUTED_VALUE"""),"Graceful Bamboo")</f>
        <v>Graceful Bamboo</v>
      </c>
      <c r="I416" s="8" t="str">
        <f>IFERROR(__xludf.DUMMYFUNCTION("""COMPUTED_VALUE"""),"121")</f>
        <v>121</v>
      </c>
      <c r="J416" s="8"/>
      <c r="K416" s="8"/>
      <c r="L416" s="8"/>
      <c r="M416" s="8">
        <f>IFERROR(__xludf.DUMMYFUNCTION("""COMPUTED_VALUE"""),1.0)</f>
        <v>1</v>
      </c>
      <c r="N416" s="8">
        <f>IFERROR(__xludf.DUMMYFUNCTION("""COMPUTED_VALUE"""),1.0)</f>
        <v>1</v>
      </c>
      <c r="O416" s="8"/>
      <c r="P416" s="8"/>
      <c r="Q416" s="8"/>
      <c r="R416" s="8"/>
      <c r="S416" s="8"/>
      <c r="T416" s="8"/>
      <c r="U416" s="8"/>
      <c r="V416" s="8"/>
      <c r="W416" s="8"/>
      <c r="X416" s="8"/>
      <c r="Y416" s="8"/>
      <c r="Z416" s="8"/>
    </row>
    <row r="417">
      <c r="A417" s="8">
        <f>IFERROR(__xludf.DUMMYFUNCTION("""COMPUTED_VALUE"""),748.0)</f>
        <v>748</v>
      </c>
      <c r="B417" s="8" t="str">
        <f>IFERROR(__xludf.DUMMYFUNCTION("""COMPUTED_VALUE"""),"perennial")</f>
        <v>perennial</v>
      </c>
      <c r="C417" s="8" t="str">
        <f>IFERROR(__xludf.DUMMYFUNCTION("""COMPUTED_VALUE"""),"rhizome")</f>
        <v>rhizome</v>
      </c>
      <c r="D417" s="55" t="str">
        <f>IFERROR(__xludf.DUMMYFUNCTION("""COMPUTED_VALUE"""),"Bambusa malingensis")</f>
        <v>Bambusa malingensis</v>
      </c>
      <c r="E417" s="8" t="str">
        <f>IFERROR(__xludf.DUMMYFUNCTION("""COMPUTED_VALUE"""),"Sea Breeze")</f>
        <v>Sea Breeze</v>
      </c>
      <c r="F417" s="8" t="str">
        <f>IFERROR(__xludf.DUMMYFUNCTION("""COMPUTED_VALUE"""),"Sea Breeze Bamboo")</f>
        <v>Sea Breeze Bamboo</v>
      </c>
      <c r="G417" s="8" t="str">
        <f>IFERROR(__xludf.DUMMYFUNCTION("""COMPUTED_VALUE"""),"Bambou Brise de Mer")</f>
        <v>Bambou Brise de Mer</v>
      </c>
      <c r="H417" s="8" t="str">
        <f>IFERROR(__xludf.DUMMYFUNCTION("""COMPUTED_VALUE"""),"Sea Breeze Bamboo")</f>
        <v>Sea Breeze Bamboo</v>
      </c>
      <c r="I417" s="8" t="str">
        <f>IFERROR(__xludf.DUMMYFUNCTION("""COMPUTED_VALUE"""),"081")</f>
        <v>081</v>
      </c>
      <c r="J417" s="8"/>
      <c r="K417" s="8"/>
      <c r="L417" s="8"/>
      <c r="M417" s="8">
        <f>IFERROR(__xludf.DUMMYFUNCTION("""COMPUTED_VALUE"""),1.0)</f>
        <v>1</v>
      </c>
      <c r="N417" s="8">
        <f>IFERROR(__xludf.DUMMYFUNCTION("""COMPUTED_VALUE"""),1.0)</f>
        <v>1</v>
      </c>
      <c r="O417" s="8"/>
      <c r="P417" s="8"/>
      <c r="Q417" s="8"/>
      <c r="R417" s="8"/>
      <c r="S417" s="8"/>
      <c r="T417" s="8"/>
      <c r="U417" s="8"/>
      <c r="V417" s="8"/>
      <c r="W417" s="8"/>
      <c r="X417" s="8"/>
      <c r="Y417" s="8"/>
      <c r="Z417" s="8"/>
    </row>
    <row r="418">
      <c r="A418" s="8">
        <f>IFERROR(__xludf.DUMMYFUNCTION("""COMPUTED_VALUE"""),749.0)</f>
        <v>749</v>
      </c>
      <c r="B418" s="8" t="str">
        <f>IFERROR(__xludf.DUMMYFUNCTION("""COMPUTED_VALUE"""),"tree")</f>
        <v>tree</v>
      </c>
      <c r="C418" s="8" t="str">
        <f>IFERROR(__xludf.DUMMYFUNCTION("""COMPUTED_VALUE"""),"graft")</f>
        <v>graft</v>
      </c>
      <c r="D418" s="55" t="str">
        <f>IFERROR(__xludf.DUMMYFUNCTION("""COMPUTED_VALUE"""),"Mammea americana")</f>
        <v>Mammea americana</v>
      </c>
      <c r="E418" s="8" t="str">
        <f>IFERROR(__xludf.DUMMYFUNCTION("""COMPUTED_VALUE"""),"Seedling")</f>
        <v>Seedling</v>
      </c>
      <c r="F418" s="8" t="str">
        <f>IFERROR(__xludf.DUMMYFUNCTION("""COMPUTED_VALUE"""),"Mamey Apple")</f>
        <v>Mamey Apple</v>
      </c>
      <c r="G418" s="8" t="str">
        <f>IFERROR(__xludf.DUMMYFUNCTION("""COMPUTED_VALUE"""),"Abricot tropical/Pomme Mamey")</f>
        <v>Abricot tropical/Pomme Mamey</v>
      </c>
      <c r="H418" s="8" t="str">
        <f>IFERROR(__xludf.DUMMYFUNCTION("""COMPUTED_VALUE"""),"Tropical Apricot/Mamey Apple")</f>
        <v>Tropical Apricot/Mamey Apple</v>
      </c>
      <c r="I418" s="8"/>
      <c r="J418" s="8"/>
      <c r="K418" s="8"/>
      <c r="L418" s="8">
        <f>IFERROR(__xludf.DUMMYFUNCTION("""COMPUTED_VALUE"""),1.0)</f>
        <v>1</v>
      </c>
      <c r="M418" s="8">
        <f>IFERROR(__xludf.DUMMYFUNCTION("""COMPUTED_VALUE"""),0.0)</f>
        <v>0</v>
      </c>
      <c r="N418" s="8">
        <f>IFERROR(__xludf.DUMMYFUNCTION("""COMPUTED_VALUE"""),0.0)</f>
        <v>0</v>
      </c>
      <c r="O418" s="8"/>
      <c r="P418" s="8"/>
      <c r="Q418" s="8"/>
      <c r="R418" s="8"/>
      <c r="S418" s="8"/>
      <c r="T418" s="8"/>
      <c r="U418" s="8"/>
      <c r="V418" s="8"/>
      <c r="W418" s="8"/>
      <c r="X418" s="8"/>
      <c r="Y418" s="8"/>
      <c r="Z418" s="8"/>
    </row>
    <row r="419">
      <c r="A419" s="8">
        <f>IFERROR(__xludf.DUMMYFUNCTION("""COMPUTED_VALUE"""),750.0)</f>
        <v>750</v>
      </c>
      <c r="B419" s="8" t="str">
        <f>IFERROR(__xludf.DUMMYFUNCTION("""COMPUTED_VALUE"""),"perennial")</f>
        <v>perennial</v>
      </c>
      <c r="C419" s="8" t="str">
        <f>IFERROR(__xludf.DUMMYFUNCTION("""COMPUTED_VALUE"""),"rhizome")</f>
        <v>rhizome</v>
      </c>
      <c r="D419" s="55" t="str">
        <f>IFERROR(__xludf.DUMMYFUNCTION("""COMPUTED_VALUE"""),"Bambusa glaucophylla")</f>
        <v>Bambusa glaucophylla</v>
      </c>
      <c r="E419" s="8" t="str">
        <f>IFERROR(__xludf.DUMMYFUNCTION("""COMPUTED_VALUE"""),"Variegated")</f>
        <v>Variegated</v>
      </c>
      <c r="F419" s="8" t="str">
        <f>IFERROR(__xludf.DUMMYFUNCTION("""COMPUTED_VALUE"""),"Malay Dwarf Bamboo")</f>
        <v>Malay Dwarf Bamboo</v>
      </c>
      <c r="G419" s="8" t="str">
        <f>IFERROR(__xludf.DUMMYFUNCTION("""COMPUTED_VALUE"""),"Bambou nain malais")</f>
        <v>Bambou nain malais</v>
      </c>
      <c r="H419" s="8" t="str">
        <f>IFERROR(__xludf.DUMMYFUNCTION("""COMPUTED_VALUE"""),"Malay Dwarf Bamboo")</f>
        <v>Malay Dwarf Bamboo</v>
      </c>
      <c r="I419" s="8" t="str">
        <f>IFERROR(__xludf.DUMMYFUNCTION("""COMPUTED_VALUE"""),"060")</f>
        <v>060</v>
      </c>
      <c r="J419" s="8"/>
      <c r="K419" s="8"/>
      <c r="L419" s="8">
        <f>IFERROR(__xludf.DUMMYFUNCTION("""COMPUTED_VALUE"""),1.0)</f>
        <v>1</v>
      </c>
      <c r="M419" s="8">
        <f>IFERROR(__xludf.DUMMYFUNCTION("""COMPUTED_VALUE"""),1.0)</f>
        <v>1</v>
      </c>
      <c r="N419" s="8">
        <f>IFERROR(__xludf.DUMMYFUNCTION("""COMPUTED_VALUE"""),1.0)</f>
        <v>1</v>
      </c>
      <c r="O419" s="8"/>
      <c r="P419" s="8"/>
      <c r="Q419" s="8"/>
      <c r="R419" s="8"/>
      <c r="S419" s="8"/>
      <c r="T419" s="8"/>
      <c r="U419" s="8"/>
      <c r="V419" s="8"/>
      <c r="W419" s="8"/>
      <c r="X419" s="8"/>
      <c r="Y419" s="8"/>
      <c r="Z419" s="8"/>
    </row>
    <row r="420">
      <c r="A420" s="8">
        <f>IFERROR(__xludf.DUMMYFUNCTION("""COMPUTED_VALUE"""),751.0)</f>
        <v>751</v>
      </c>
      <c r="B420" s="8" t="str">
        <f>IFERROR(__xludf.DUMMYFUNCTION("""COMPUTED_VALUE"""),"tree")</f>
        <v>tree</v>
      </c>
      <c r="C420" s="8" t="str">
        <f>IFERROR(__xludf.DUMMYFUNCTION("""COMPUTED_VALUE"""),"graft")</f>
        <v>graft</v>
      </c>
      <c r="D420" s="55" t="str">
        <f>IFERROR(__xludf.DUMMYFUNCTION("""COMPUTED_VALUE"""),"Artocarpus heterophyllus")</f>
        <v>Artocarpus heterophyllus</v>
      </c>
      <c r="E420" s="8" t="str">
        <f>IFERROR(__xludf.DUMMYFUNCTION("""COMPUTED_VALUE"""),"Mai 1")</f>
        <v>Mai 1</v>
      </c>
      <c r="F420" s="8" t="str">
        <f>IFERROR(__xludf.DUMMYFUNCTION("""COMPUTED_VALUE"""),"Jackfruit")</f>
        <v>Jackfruit</v>
      </c>
      <c r="G420" s="8" t="str">
        <f>IFERROR(__xludf.DUMMYFUNCTION("""COMPUTED_VALUE"""),"Jacquier")</f>
        <v>Jacquier</v>
      </c>
      <c r="H420" s="8" t="str">
        <f>IFERROR(__xludf.DUMMYFUNCTION("""COMPUTED_VALUE"""),"Jackfruit")</f>
        <v>Jackfruit</v>
      </c>
      <c r="I420" s="8" t="str">
        <f>IFERROR(__xludf.DUMMYFUNCTION("""COMPUTED_VALUE"""),"177")</f>
        <v>177</v>
      </c>
      <c r="J420" s="8"/>
      <c r="K420" s="8"/>
      <c r="L420" s="8" t="str">
        <f>IFERROR(__xludf.DUMMYFUNCTION("""COMPUTED_VALUE"""),"multiple")</f>
        <v>multiple</v>
      </c>
      <c r="M420" s="8">
        <f>IFERROR(__xludf.DUMMYFUNCTION("""COMPUTED_VALUE"""),1.0)</f>
        <v>1</v>
      </c>
      <c r="N420" s="8">
        <f>IFERROR(__xludf.DUMMYFUNCTION("""COMPUTED_VALUE"""),1.0)</f>
        <v>1</v>
      </c>
      <c r="O420" s="8"/>
      <c r="P420" s="8"/>
      <c r="Q420" s="8"/>
      <c r="R420" s="8"/>
      <c r="S420" s="8"/>
      <c r="T420" s="8"/>
      <c r="U420" s="8"/>
      <c r="V420" s="8"/>
      <c r="W420" s="8"/>
      <c r="X420" s="8"/>
      <c r="Y420" s="8"/>
      <c r="Z420" s="8"/>
    </row>
    <row r="421">
      <c r="A421" s="8">
        <f>IFERROR(__xludf.DUMMYFUNCTION("""COMPUTED_VALUE"""),752.0)</f>
        <v>752</v>
      </c>
      <c r="B421" s="8" t="str">
        <f>IFERROR(__xludf.DUMMYFUNCTION("""COMPUTED_VALUE"""),"tree")</f>
        <v>tree</v>
      </c>
      <c r="C421" s="8" t="str">
        <f>IFERROR(__xludf.DUMMYFUNCTION("""COMPUTED_VALUE"""),"graft")</f>
        <v>graft</v>
      </c>
      <c r="D421" s="55" t="str">
        <f>IFERROR(__xludf.DUMMYFUNCTION("""COMPUTED_VALUE"""),"Artocarpus heterophyllus")</f>
        <v>Artocarpus heterophyllus</v>
      </c>
      <c r="E421" s="8" t="str">
        <f>IFERROR(__xludf.DUMMYFUNCTION("""COMPUTED_VALUE"""),"Vietnam")</f>
        <v>Vietnam</v>
      </c>
      <c r="F421" s="8" t="str">
        <f>IFERROR(__xludf.DUMMYFUNCTION("""COMPUTED_VALUE"""),"Jackfruit")</f>
        <v>Jackfruit</v>
      </c>
      <c r="G421" s="8" t="str">
        <f>IFERROR(__xludf.DUMMYFUNCTION("""COMPUTED_VALUE"""),"Jacquier")</f>
        <v>Jacquier</v>
      </c>
      <c r="H421" s="8" t="str">
        <f>IFERROR(__xludf.DUMMYFUNCTION("""COMPUTED_VALUE"""),"Jackfruit")</f>
        <v>Jackfruit</v>
      </c>
      <c r="I421" s="8" t="str">
        <f>IFERROR(__xludf.DUMMYFUNCTION("""COMPUTED_VALUE"""),"Give to Mamadi?")</f>
        <v>Give to Mamadi?</v>
      </c>
      <c r="J421" s="8"/>
      <c r="K421" s="8"/>
      <c r="L421" s="8" t="str">
        <f>IFERROR(__xludf.DUMMYFUNCTION("""COMPUTED_VALUE"""),"multiple")</f>
        <v>multiple</v>
      </c>
      <c r="M421" s="8">
        <f>IFERROR(__xludf.DUMMYFUNCTION("""COMPUTED_VALUE"""),0.0)</f>
        <v>0</v>
      </c>
      <c r="N421" s="8">
        <f>IFERROR(__xludf.DUMMYFUNCTION("""COMPUTED_VALUE"""),1.0)</f>
        <v>1</v>
      </c>
      <c r="O421" s="8"/>
      <c r="P421" s="8"/>
      <c r="Q421" s="8"/>
      <c r="R421" s="8"/>
      <c r="S421" s="8"/>
      <c r="T421" s="8"/>
      <c r="U421" s="8"/>
      <c r="V421" s="8"/>
      <c r="W421" s="8"/>
      <c r="X421" s="8"/>
      <c r="Y421" s="8"/>
      <c r="Z421" s="8"/>
    </row>
    <row r="422">
      <c r="A422" s="8">
        <f>IFERROR(__xludf.DUMMYFUNCTION("""COMPUTED_VALUE"""),753.0)</f>
        <v>753</v>
      </c>
      <c r="B422" s="8" t="str">
        <f>IFERROR(__xludf.DUMMYFUNCTION("""COMPUTED_VALUE"""),"tree")</f>
        <v>tree</v>
      </c>
      <c r="C422" s="8" t="str">
        <f>IFERROR(__xludf.DUMMYFUNCTION("""COMPUTED_VALUE"""),"graft")</f>
        <v>graft</v>
      </c>
      <c r="D422" s="55" t="str">
        <f>IFERROR(__xludf.DUMMYFUNCTION("""COMPUTED_VALUE"""),"Artocarpus heterophyllus")</f>
        <v>Artocarpus heterophyllus</v>
      </c>
      <c r="E422" s="8" t="str">
        <f>IFERROR(__xludf.DUMMYFUNCTION("""COMPUTED_VALUE"""),"Lemon Gold")</f>
        <v>Lemon Gold</v>
      </c>
      <c r="F422" s="8" t="str">
        <f>IFERROR(__xludf.DUMMYFUNCTION("""COMPUTED_VALUE"""),"Jackfruit")</f>
        <v>Jackfruit</v>
      </c>
      <c r="G422" s="8" t="str">
        <f>IFERROR(__xludf.DUMMYFUNCTION("""COMPUTED_VALUE"""),"Jacquier")</f>
        <v>Jacquier</v>
      </c>
      <c r="H422" s="8" t="str">
        <f>IFERROR(__xludf.DUMMYFUNCTION("""COMPUTED_VALUE"""),"Jackfruit")</f>
        <v>Jackfruit</v>
      </c>
      <c r="I422" s="8" t="str">
        <f>IFERROR(__xludf.DUMMYFUNCTION("""COMPUTED_VALUE"""),"204")</f>
        <v>204</v>
      </c>
      <c r="J422" s="8"/>
      <c r="K422" s="8"/>
      <c r="L422" s="8" t="str">
        <f>IFERROR(__xludf.DUMMYFUNCTION("""COMPUTED_VALUE"""),"multiple")</f>
        <v>multiple</v>
      </c>
      <c r="M422" s="8">
        <f>IFERROR(__xludf.DUMMYFUNCTION("""COMPUTED_VALUE"""),1.0)</f>
        <v>1</v>
      </c>
      <c r="N422" s="8">
        <f>IFERROR(__xludf.DUMMYFUNCTION("""COMPUTED_VALUE"""),1.0)</f>
        <v>1</v>
      </c>
      <c r="O422" s="8"/>
      <c r="P422" s="8"/>
      <c r="Q422" s="8"/>
      <c r="R422" s="8"/>
      <c r="S422" s="8"/>
      <c r="T422" s="8"/>
      <c r="U422" s="8"/>
      <c r="V422" s="8"/>
      <c r="W422" s="8"/>
      <c r="X422" s="8"/>
      <c r="Y422" s="8"/>
      <c r="Z422" s="8"/>
    </row>
    <row r="423">
      <c r="A423" s="8">
        <f>IFERROR(__xludf.DUMMYFUNCTION("""COMPUTED_VALUE"""),754.0)</f>
        <v>754</v>
      </c>
      <c r="B423" s="8" t="str">
        <f>IFERROR(__xludf.DUMMYFUNCTION("""COMPUTED_VALUE"""),"tree")</f>
        <v>tree</v>
      </c>
      <c r="C423" s="8" t="str">
        <f>IFERROR(__xludf.DUMMYFUNCTION("""COMPUTED_VALUE"""),"graft")</f>
        <v>graft</v>
      </c>
      <c r="D423" s="55" t="str">
        <f>IFERROR(__xludf.DUMMYFUNCTION("""COMPUTED_VALUE"""),"Persea americana")</f>
        <v>Persea americana</v>
      </c>
      <c r="E423" s="8" t="str">
        <f>IFERROR(__xludf.DUMMYFUNCTION("""COMPUTED_VALUE"""),"Hardee")</f>
        <v>Hardee</v>
      </c>
      <c r="F423" s="8" t="str">
        <f>IFERROR(__xludf.DUMMYFUNCTION("""COMPUTED_VALUE"""),"Avocado")</f>
        <v>Avocado</v>
      </c>
      <c r="G423" s="8" t="str">
        <f>IFERROR(__xludf.DUMMYFUNCTION("""COMPUTED_VALUE"""),"Avocat")</f>
        <v>Avocat</v>
      </c>
      <c r="H423" s="8" t="str">
        <f>IFERROR(__xludf.DUMMYFUNCTION("""COMPUTED_VALUE"""),"Avocado")</f>
        <v>Avocado</v>
      </c>
      <c r="I423" s="8" t="str">
        <f>IFERROR(__xludf.DUMMYFUNCTION("""COMPUTED_VALUE"""),"160")</f>
        <v>160</v>
      </c>
      <c r="J423" s="8"/>
      <c r="K423" s="8"/>
      <c r="L423" s="8">
        <f>IFERROR(__xludf.DUMMYFUNCTION("""COMPUTED_VALUE"""),1.0)</f>
        <v>1</v>
      </c>
      <c r="M423" s="8">
        <f>IFERROR(__xludf.DUMMYFUNCTION("""COMPUTED_VALUE"""),1.0)</f>
        <v>1</v>
      </c>
      <c r="N423" s="8">
        <f>IFERROR(__xludf.DUMMYFUNCTION("""COMPUTED_VALUE"""),1.0)</f>
        <v>1</v>
      </c>
      <c r="O423" s="8"/>
      <c r="P423" s="8"/>
      <c r="Q423" s="8"/>
      <c r="R423" s="8"/>
      <c r="S423" s="8"/>
      <c r="T423" s="8"/>
      <c r="U423" s="8"/>
      <c r="V423" s="8"/>
      <c r="W423" s="8"/>
      <c r="X423" s="8"/>
      <c r="Y423" s="8"/>
      <c r="Z423" s="8"/>
    </row>
    <row r="424">
      <c r="A424" s="8">
        <f>IFERROR(__xludf.DUMMYFUNCTION("""COMPUTED_VALUE"""),755.0)</f>
        <v>755</v>
      </c>
      <c r="B424" s="8" t="str">
        <f>IFERROR(__xludf.DUMMYFUNCTION("""COMPUTED_VALUE"""),"tree")</f>
        <v>tree</v>
      </c>
      <c r="C424" s="8" t="str">
        <f>IFERROR(__xludf.DUMMYFUNCTION("""COMPUTED_VALUE"""),"graft")</f>
        <v>graft</v>
      </c>
      <c r="D424" s="55" t="str">
        <f>IFERROR(__xludf.DUMMYFUNCTION("""COMPUTED_VALUE"""),"Persea americana")</f>
        <v>Persea americana</v>
      </c>
      <c r="E424" s="8" t="str">
        <f>IFERROR(__xludf.DUMMYFUNCTION("""COMPUTED_VALUE"""),"Australia")</f>
        <v>Australia</v>
      </c>
      <c r="F424" s="8" t="str">
        <f>IFERROR(__xludf.DUMMYFUNCTION("""COMPUTED_VALUE"""),"Avocado")</f>
        <v>Avocado</v>
      </c>
      <c r="G424" s="8" t="str">
        <f>IFERROR(__xludf.DUMMYFUNCTION("""COMPUTED_VALUE"""),"Avocat")</f>
        <v>Avocat</v>
      </c>
      <c r="H424" s="8" t="str">
        <f>IFERROR(__xludf.DUMMYFUNCTION("""COMPUTED_VALUE"""),"Avocado")</f>
        <v>Avocado</v>
      </c>
      <c r="I424" s="8" t="str">
        <f>IFERROR(__xludf.DUMMYFUNCTION("""COMPUTED_VALUE"""),"203")</f>
        <v>203</v>
      </c>
      <c r="J424" s="8"/>
      <c r="K424" s="8"/>
      <c r="L424" s="8">
        <f>IFERROR(__xludf.DUMMYFUNCTION("""COMPUTED_VALUE"""),1.0)</f>
        <v>1</v>
      </c>
      <c r="M424" s="8">
        <f>IFERROR(__xludf.DUMMYFUNCTION("""COMPUTED_VALUE"""),1.0)</f>
        <v>1</v>
      </c>
      <c r="N424" s="8">
        <f>IFERROR(__xludf.DUMMYFUNCTION("""COMPUTED_VALUE"""),1.0)</f>
        <v>1</v>
      </c>
      <c r="O424" s="8"/>
      <c r="P424" s="8"/>
      <c r="Q424" s="8"/>
      <c r="R424" s="8"/>
      <c r="S424" s="8"/>
      <c r="T424" s="8"/>
      <c r="U424" s="8"/>
      <c r="V424" s="8"/>
      <c r="W424" s="8"/>
      <c r="X424" s="8"/>
      <c r="Y424" s="8"/>
      <c r="Z424" s="8"/>
    </row>
    <row r="425">
      <c r="A425" s="8">
        <f>IFERROR(__xludf.DUMMYFUNCTION("""COMPUTED_VALUE"""),756.0)</f>
        <v>756</v>
      </c>
      <c r="B425" s="8" t="str">
        <f>IFERROR(__xludf.DUMMYFUNCTION("""COMPUTED_VALUE"""),"tree")</f>
        <v>tree</v>
      </c>
      <c r="C425" s="8" t="str">
        <f>IFERROR(__xludf.DUMMYFUNCTION("""COMPUTED_VALUE"""),"graft")</f>
        <v>graft</v>
      </c>
      <c r="D425" s="55" t="str">
        <f>IFERROR(__xludf.DUMMYFUNCTION("""COMPUTED_VALUE"""),"Persea americana")</f>
        <v>Persea americana</v>
      </c>
      <c r="E425" s="8" t="str">
        <f>IFERROR(__xludf.DUMMYFUNCTION("""COMPUTED_VALUE"""),"Jose Antonio")</f>
        <v>Jose Antonio</v>
      </c>
      <c r="F425" s="8" t="str">
        <f>IFERROR(__xludf.DUMMYFUNCTION("""COMPUTED_VALUE"""),"Avocado")</f>
        <v>Avocado</v>
      </c>
      <c r="G425" s="8" t="str">
        <f>IFERROR(__xludf.DUMMYFUNCTION("""COMPUTED_VALUE"""),"Avocat")</f>
        <v>Avocat</v>
      </c>
      <c r="H425" s="8" t="str">
        <f>IFERROR(__xludf.DUMMYFUNCTION("""COMPUTED_VALUE"""),"Avocado")</f>
        <v>Avocado</v>
      </c>
      <c r="I425" s="8"/>
      <c r="J425" s="8"/>
      <c r="K425" s="8"/>
      <c r="L425" s="8">
        <f>IFERROR(__xludf.DUMMYFUNCTION("""COMPUTED_VALUE"""),1.0)</f>
        <v>1</v>
      </c>
      <c r="M425" s="8">
        <f>IFERROR(__xludf.DUMMYFUNCTION("""COMPUTED_VALUE"""),0.0)</f>
        <v>0</v>
      </c>
      <c r="N425" s="8">
        <f>IFERROR(__xludf.DUMMYFUNCTION("""COMPUTED_VALUE"""),1.0)</f>
        <v>1</v>
      </c>
      <c r="O425" s="8"/>
      <c r="P425" s="8"/>
      <c r="Q425" s="8"/>
      <c r="R425" s="8"/>
      <c r="S425" s="8"/>
      <c r="T425" s="8"/>
      <c r="U425" s="8"/>
      <c r="V425" s="8"/>
      <c r="W425" s="8"/>
      <c r="X425" s="8"/>
      <c r="Y425" s="8"/>
      <c r="Z425" s="8"/>
    </row>
    <row r="426">
      <c r="A426" s="8">
        <f>IFERROR(__xludf.DUMMYFUNCTION("""COMPUTED_VALUE"""),757.0)</f>
        <v>757</v>
      </c>
      <c r="B426" s="8" t="str">
        <f>IFERROR(__xludf.DUMMYFUNCTION("""COMPUTED_VALUE"""),"tree")</f>
        <v>tree</v>
      </c>
      <c r="C426" s="8" t="str">
        <f>IFERROR(__xludf.DUMMYFUNCTION("""COMPUTED_VALUE"""),"graft")</f>
        <v>graft</v>
      </c>
      <c r="D426" s="55" t="str">
        <f>IFERROR(__xludf.DUMMYFUNCTION("""COMPUTED_VALUE"""),"Persea americana")</f>
        <v>Persea americana</v>
      </c>
      <c r="E426" s="8" t="str">
        <f>IFERROR(__xludf.DUMMYFUNCTION("""COMPUTED_VALUE"""),"Dupuis")</f>
        <v>Dupuis</v>
      </c>
      <c r="F426" s="8" t="str">
        <f>IFERROR(__xludf.DUMMYFUNCTION("""COMPUTED_VALUE"""),"Avocado")</f>
        <v>Avocado</v>
      </c>
      <c r="G426" s="8" t="str">
        <f>IFERROR(__xludf.DUMMYFUNCTION("""COMPUTED_VALUE"""),"Avocat")</f>
        <v>Avocat</v>
      </c>
      <c r="H426" s="8" t="str">
        <f>IFERROR(__xludf.DUMMYFUNCTION("""COMPUTED_VALUE"""),"Avocado")</f>
        <v>Avocado</v>
      </c>
      <c r="I426" s="8" t="str">
        <f>IFERROR(__xludf.DUMMYFUNCTION("""COMPUTED_VALUE"""),"162")</f>
        <v>162</v>
      </c>
      <c r="J426" s="8"/>
      <c r="K426" s="8"/>
      <c r="L426" s="8">
        <f>IFERROR(__xludf.DUMMYFUNCTION("""COMPUTED_VALUE"""),1.0)</f>
        <v>1</v>
      </c>
      <c r="M426" s="8">
        <f>IFERROR(__xludf.DUMMYFUNCTION("""COMPUTED_VALUE"""),1.0)</f>
        <v>1</v>
      </c>
      <c r="N426" s="8">
        <f>IFERROR(__xludf.DUMMYFUNCTION("""COMPUTED_VALUE"""),1.0)</f>
        <v>1</v>
      </c>
      <c r="O426" s="8"/>
      <c r="P426" s="8"/>
      <c r="Q426" s="8"/>
      <c r="R426" s="8"/>
      <c r="S426" s="8"/>
      <c r="T426" s="8"/>
      <c r="U426" s="8"/>
      <c r="V426" s="8"/>
      <c r="W426" s="8"/>
      <c r="X426" s="8"/>
      <c r="Y426" s="8"/>
      <c r="Z426" s="8"/>
    </row>
    <row r="427">
      <c r="A427" s="8">
        <f>IFERROR(__xludf.DUMMYFUNCTION("""COMPUTED_VALUE"""),758.0)</f>
        <v>758</v>
      </c>
      <c r="B427" s="8" t="str">
        <f>IFERROR(__xludf.DUMMYFUNCTION("""COMPUTED_VALUE"""),"tree")</f>
        <v>tree</v>
      </c>
      <c r="C427" s="8" t="str">
        <f>IFERROR(__xludf.DUMMYFUNCTION("""COMPUTED_VALUE"""),"graft")</f>
        <v>graft</v>
      </c>
      <c r="D427" s="55" t="str">
        <f>IFERROR(__xludf.DUMMYFUNCTION("""COMPUTED_VALUE"""),"Mammea americana")</f>
        <v>Mammea americana</v>
      </c>
      <c r="E427" s="8" t="str">
        <f>IFERROR(__xludf.DUMMYFUNCTION("""COMPUTED_VALUE"""),"Seedling")</f>
        <v>Seedling</v>
      </c>
      <c r="F427" s="8" t="str">
        <f>IFERROR(__xludf.DUMMYFUNCTION("""COMPUTED_VALUE"""),"Mamey Apple")</f>
        <v>Mamey Apple</v>
      </c>
      <c r="G427" s="8" t="str">
        <f>IFERROR(__xludf.DUMMYFUNCTION("""COMPUTED_VALUE"""),"Abricot tropical/Pomme Mamey")</f>
        <v>Abricot tropical/Pomme Mamey</v>
      </c>
      <c r="H427" s="8" t="str">
        <f>IFERROR(__xludf.DUMMYFUNCTION("""COMPUTED_VALUE"""),"Tropical Apricot/Mamey Apple")</f>
        <v>Tropical Apricot/Mamey Apple</v>
      </c>
      <c r="I427" s="8" t="str">
        <f>IFERROR(__xludf.DUMMYFUNCTION("""COMPUTED_VALUE"""),"126A")</f>
        <v>126A</v>
      </c>
      <c r="J427" s="8"/>
      <c r="K427" s="8"/>
      <c r="L427" s="8">
        <f>IFERROR(__xludf.DUMMYFUNCTION("""COMPUTED_VALUE"""),1.0)</f>
        <v>1</v>
      </c>
      <c r="M427" s="8">
        <f>IFERROR(__xludf.DUMMYFUNCTION("""COMPUTED_VALUE"""),2.0)</f>
        <v>2</v>
      </c>
      <c r="N427" s="8">
        <f>IFERROR(__xludf.DUMMYFUNCTION("""COMPUTED_VALUE"""),3.0)</f>
        <v>3</v>
      </c>
      <c r="O427" s="8"/>
      <c r="P427" s="8"/>
      <c r="Q427" s="8"/>
      <c r="R427" s="8"/>
      <c r="S427" s="8"/>
      <c r="T427" s="8"/>
      <c r="U427" s="8"/>
      <c r="V427" s="8"/>
      <c r="W427" s="8"/>
      <c r="X427" s="8"/>
      <c r="Y427" s="8"/>
      <c r="Z427" s="8"/>
    </row>
    <row r="428">
      <c r="A428" s="8">
        <f>IFERROR(__xludf.DUMMYFUNCTION("""COMPUTED_VALUE"""),759.0)</f>
        <v>759</v>
      </c>
      <c r="B428" s="8" t="str">
        <f>IFERROR(__xludf.DUMMYFUNCTION("""COMPUTED_VALUE"""),"tree")</f>
        <v>tree</v>
      </c>
      <c r="C428" s="8" t="str">
        <f>IFERROR(__xludf.DUMMYFUNCTION("""COMPUTED_VALUE"""),"graft")</f>
        <v>graft</v>
      </c>
      <c r="D428" s="55" t="str">
        <f>IFERROR(__xludf.DUMMYFUNCTION("""COMPUTED_VALUE"""),"Mammea americana")</f>
        <v>Mammea americana</v>
      </c>
      <c r="E428" s="8" t="str">
        <f>IFERROR(__xludf.DUMMYFUNCTION("""COMPUTED_VALUE"""),"Seedling")</f>
        <v>Seedling</v>
      </c>
      <c r="F428" s="8" t="str">
        <f>IFERROR(__xludf.DUMMYFUNCTION("""COMPUTED_VALUE"""),"Mamey Apple")</f>
        <v>Mamey Apple</v>
      </c>
      <c r="G428" s="8" t="str">
        <f>IFERROR(__xludf.DUMMYFUNCTION("""COMPUTED_VALUE"""),"Abricot tropical/Pomme Mamey")</f>
        <v>Abricot tropical/Pomme Mamey</v>
      </c>
      <c r="H428" s="8" t="str">
        <f>IFERROR(__xludf.DUMMYFUNCTION("""COMPUTED_VALUE"""),"Tropical Apricot/Mamey Apple")</f>
        <v>Tropical Apricot/Mamey Apple</v>
      </c>
      <c r="I428" s="8" t="str">
        <f>IFERROR(__xludf.DUMMYFUNCTION("""COMPUTED_VALUE"""),"082A")</f>
        <v>082A</v>
      </c>
      <c r="J428" s="8"/>
      <c r="K428" s="8"/>
      <c r="L428" s="8">
        <f>IFERROR(__xludf.DUMMYFUNCTION("""COMPUTED_VALUE"""),1.0)</f>
        <v>1</v>
      </c>
      <c r="M428" s="8">
        <f>IFERROR(__xludf.DUMMYFUNCTION("""COMPUTED_VALUE"""),2.0)</f>
        <v>2</v>
      </c>
      <c r="N428" s="8">
        <f>IFERROR(__xludf.DUMMYFUNCTION("""COMPUTED_VALUE"""),3.0)</f>
        <v>3</v>
      </c>
      <c r="O428" s="8"/>
      <c r="P428" s="8"/>
      <c r="Q428" s="8"/>
      <c r="R428" s="8"/>
      <c r="S428" s="8"/>
      <c r="T428" s="8"/>
      <c r="U428" s="8"/>
      <c r="V428" s="8"/>
      <c r="W428" s="8"/>
      <c r="X428" s="8"/>
      <c r="Y428" s="8"/>
      <c r="Z428" s="8"/>
    </row>
    <row r="429">
      <c r="A429" s="8">
        <f>IFERROR(__xludf.DUMMYFUNCTION("""COMPUTED_VALUE"""),760.0)</f>
        <v>760</v>
      </c>
      <c r="B429" s="8" t="str">
        <f>IFERROR(__xludf.DUMMYFUNCTION("""COMPUTED_VALUE"""),"tree")</f>
        <v>tree</v>
      </c>
      <c r="C429" s="8" t="str">
        <f>IFERROR(__xludf.DUMMYFUNCTION("""COMPUTED_VALUE"""),"graft")</f>
        <v>graft</v>
      </c>
      <c r="D429" s="55" t="str">
        <f>IFERROR(__xludf.DUMMYFUNCTION("""COMPUTED_VALUE"""),"Mammea americana")</f>
        <v>Mammea americana</v>
      </c>
      <c r="E429" s="8" t="str">
        <f>IFERROR(__xludf.DUMMYFUNCTION("""COMPUTED_VALUE"""),"Seedling")</f>
        <v>Seedling</v>
      </c>
      <c r="F429" s="8" t="str">
        <f>IFERROR(__xludf.DUMMYFUNCTION("""COMPUTED_VALUE"""),"Mamey Apple")</f>
        <v>Mamey Apple</v>
      </c>
      <c r="G429" s="8" t="str">
        <f>IFERROR(__xludf.DUMMYFUNCTION("""COMPUTED_VALUE"""),"Abricot tropical/Pomme Mamey")</f>
        <v>Abricot tropical/Pomme Mamey</v>
      </c>
      <c r="H429" s="8" t="str">
        <f>IFERROR(__xludf.DUMMYFUNCTION("""COMPUTED_VALUE"""),"Tropical Apricot/Mamey Apple")</f>
        <v>Tropical Apricot/Mamey Apple</v>
      </c>
      <c r="I429" s="8" t="str">
        <f>IFERROR(__xludf.DUMMYFUNCTION("""COMPUTED_VALUE"""),"127A")</f>
        <v>127A</v>
      </c>
      <c r="J429" s="8"/>
      <c r="K429" s="8"/>
      <c r="L429" s="8">
        <f>IFERROR(__xludf.DUMMYFUNCTION("""COMPUTED_VALUE"""),1.0)</f>
        <v>1</v>
      </c>
      <c r="M429" s="8">
        <f>IFERROR(__xludf.DUMMYFUNCTION("""COMPUTED_VALUE"""),2.0)</f>
        <v>2</v>
      </c>
      <c r="N429" s="8">
        <f>IFERROR(__xludf.DUMMYFUNCTION("""COMPUTED_VALUE"""),3.0)</f>
        <v>3</v>
      </c>
      <c r="O429" s="8"/>
      <c r="P429" s="8"/>
      <c r="Q429" s="8"/>
      <c r="R429" s="8"/>
      <c r="S429" s="8"/>
      <c r="T429" s="8"/>
      <c r="U429" s="8"/>
      <c r="V429" s="8"/>
      <c r="W429" s="8"/>
      <c r="X429" s="8"/>
      <c r="Y429" s="8"/>
      <c r="Z429" s="8"/>
    </row>
    <row r="430">
      <c r="A430" s="8">
        <f>IFERROR(__xludf.DUMMYFUNCTION("""COMPUTED_VALUE"""),761.0)</f>
        <v>761</v>
      </c>
      <c r="B430" s="8" t="str">
        <f>IFERROR(__xludf.DUMMYFUNCTION("""COMPUTED_VALUE"""),"tree")</f>
        <v>tree</v>
      </c>
      <c r="C430" s="8" t="str">
        <f>IFERROR(__xludf.DUMMYFUNCTION("""COMPUTED_VALUE"""),"air_layer")</f>
        <v>air_layer</v>
      </c>
      <c r="D430" s="55" t="str">
        <f>IFERROR(__xludf.DUMMYFUNCTION("""COMPUTED_VALUE"""),"Psidium guajava")</f>
        <v>Psidium guajava</v>
      </c>
      <c r="E430" s="8" t="str">
        <f>IFERROR(__xludf.DUMMYFUNCTION("""COMPUTED_VALUE"""),"Pink mexican")</f>
        <v>Pink mexican</v>
      </c>
      <c r="F430" s="8" t="str">
        <f>IFERROR(__xludf.DUMMYFUNCTION("""COMPUTED_VALUE"""),"Guava")</f>
        <v>Guava</v>
      </c>
      <c r="G430" s="8" t="str">
        <f>IFERROR(__xludf.DUMMYFUNCTION("""COMPUTED_VALUE"""),"Goyave")</f>
        <v>Goyave</v>
      </c>
      <c r="H430" s="8" t="str">
        <f>IFERROR(__xludf.DUMMYFUNCTION("""COMPUTED_VALUE"""),"Guava")</f>
        <v>Guava</v>
      </c>
      <c r="I430" s="8" t="str">
        <f>IFERROR(__xludf.DUMMYFUNCTION("""COMPUTED_VALUE"""),"182")</f>
        <v>182</v>
      </c>
      <c r="J430" s="8"/>
      <c r="K430" s="8"/>
      <c r="L430" s="8" t="str">
        <f>IFERROR(__xludf.DUMMYFUNCTION("""COMPUTED_VALUE"""),"multiple")</f>
        <v>multiple</v>
      </c>
      <c r="M430" s="8">
        <f>IFERROR(__xludf.DUMMYFUNCTION("""COMPUTED_VALUE"""),1.0)</f>
        <v>1</v>
      </c>
      <c r="N430" s="8">
        <f>IFERROR(__xludf.DUMMYFUNCTION("""COMPUTED_VALUE"""),1.0)</f>
        <v>1</v>
      </c>
      <c r="O430" s="8"/>
      <c r="P430" s="8"/>
      <c r="Q430" s="8"/>
      <c r="R430" s="8"/>
      <c r="S430" s="8"/>
      <c r="T430" s="8"/>
      <c r="U430" s="8"/>
      <c r="V430" s="8"/>
      <c r="W430" s="8"/>
      <c r="X430" s="8"/>
      <c r="Y430" s="8"/>
      <c r="Z430" s="8"/>
    </row>
    <row r="431">
      <c r="A431" s="8">
        <f>IFERROR(__xludf.DUMMYFUNCTION("""COMPUTED_VALUE"""),762.0)</f>
        <v>762</v>
      </c>
      <c r="B431" s="8" t="str">
        <f>IFERROR(__xludf.DUMMYFUNCTION("""COMPUTED_VALUE"""),"tree")</f>
        <v>tree</v>
      </c>
      <c r="C431" s="8" t="str">
        <f>IFERROR(__xludf.DUMMYFUNCTION("""COMPUTED_VALUE"""),"graft")</f>
        <v>graft</v>
      </c>
      <c r="D431" s="55" t="str">
        <f>IFERROR(__xludf.DUMMYFUNCTION("""COMPUTED_VALUE"""),"Diospyros nigra")</f>
        <v>Diospyros nigra</v>
      </c>
      <c r="E431" s="8" t="str">
        <f>IFERROR(__xludf.DUMMYFUNCTION("""COMPUTED_VALUE"""),"Seedling")</f>
        <v>Seedling</v>
      </c>
      <c r="F431" s="8" t="str">
        <f>IFERROR(__xludf.DUMMYFUNCTION("""COMPUTED_VALUE"""),"Black Sapote")</f>
        <v>Black Sapote</v>
      </c>
      <c r="G431" s="8" t="str">
        <f>IFERROR(__xludf.DUMMYFUNCTION("""COMPUTED_VALUE"""),"Sapote noire")</f>
        <v>Sapote noire</v>
      </c>
      <c r="H431" s="8" t="str">
        <f>IFERROR(__xludf.DUMMYFUNCTION("""COMPUTED_VALUE"""),"Black Sapote")</f>
        <v>Black Sapote</v>
      </c>
      <c r="I431" s="8" t="str">
        <f>IFERROR(__xludf.DUMMYFUNCTION("""COMPUTED_VALUE"""),"Give to Mamadi")</f>
        <v>Give to Mamadi</v>
      </c>
      <c r="J431" s="8"/>
      <c r="K431" s="8"/>
      <c r="L431" s="8" t="str">
        <f>IFERROR(__xludf.DUMMYFUNCTION("""COMPUTED_VALUE"""),"multiple")</f>
        <v>multiple</v>
      </c>
      <c r="M431" s="8">
        <f>IFERROR(__xludf.DUMMYFUNCTION("""COMPUTED_VALUE"""),0.0)</f>
        <v>0</v>
      </c>
      <c r="N431" s="8">
        <f>IFERROR(__xludf.DUMMYFUNCTION("""COMPUTED_VALUE"""),1.0)</f>
        <v>1</v>
      </c>
      <c r="O431" s="8"/>
      <c r="P431" s="8"/>
      <c r="Q431" s="8"/>
      <c r="R431" s="8"/>
      <c r="S431" s="8"/>
      <c r="T431" s="8"/>
      <c r="U431" s="8"/>
      <c r="V431" s="8"/>
      <c r="W431" s="8"/>
      <c r="X431" s="8"/>
      <c r="Y431" s="8"/>
      <c r="Z431" s="8"/>
    </row>
    <row r="432">
      <c r="A432" s="8">
        <f>IFERROR(__xludf.DUMMYFUNCTION("""COMPUTED_VALUE"""),763.0)</f>
        <v>763</v>
      </c>
      <c r="B432" s="8" t="str">
        <f>IFERROR(__xludf.DUMMYFUNCTION("""COMPUTED_VALUE"""),"tree")</f>
        <v>tree</v>
      </c>
      <c r="C432" s="8" t="str">
        <f>IFERROR(__xludf.DUMMYFUNCTION("""COMPUTED_VALUE"""),"graft")</f>
        <v>graft</v>
      </c>
      <c r="D432" s="55" t="str">
        <f>IFERROR(__xludf.DUMMYFUNCTION("""COMPUTED_VALUE"""),"Artocarpus heterophyllus")</f>
        <v>Artocarpus heterophyllus</v>
      </c>
      <c r="E432" s="8" t="str">
        <f>IFERROR(__xludf.DUMMYFUNCTION("""COMPUTED_VALUE"""),"NS1 Seedling")</f>
        <v>NS1 Seedling</v>
      </c>
      <c r="F432" s="8" t="str">
        <f>IFERROR(__xludf.DUMMYFUNCTION("""COMPUTED_VALUE"""),"Jackfruit")</f>
        <v>Jackfruit</v>
      </c>
      <c r="G432" s="8" t="str">
        <f>IFERROR(__xludf.DUMMYFUNCTION("""COMPUTED_VALUE"""),"Jacquier")</f>
        <v>Jacquier</v>
      </c>
      <c r="H432" s="8" t="str">
        <f>IFERROR(__xludf.DUMMYFUNCTION("""COMPUTED_VALUE"""),"seed")</f>
        <v>seed</v>
      </c>
      <c r="I432" s="8" t="str">
        <f>IFERROR(__xludf.DUMMYFUNCTION("""COMPUTED_VALUE"""),"048")</f>
        <v>048</v>
      </c>
      <c r="J432" s="8"/>
      <c r="K432" s="8"/>
      <c r="L432" s="8" t="str">
        <f>IFERROR(__xludf.DUMMYFUNCTION("""COMPUTED_VALUE"""),"multiple")</f>
        <v>multiple</v>
      </c>
      <c r="M432" s="8">
        <f>IFERROR(__xludf.DUMMYFUNCTION("""COMPUTED_VALUE"""),1.0)</f>
        <v>1</v>
      </c>
      <c r="N432" s="8">
        <f>IFERROR(__xludf.DUMMYFUNCTION("""COMPUTED_VALUE"""),1.0)</f>
        <v>1</v>
      </c>
      <c r="O432" s="8"/>
      <c r="P432" s="8"/>
      <c r="Q432" s="8"/>
      <c r="R432" s="8"/>
      <c r="S432" s="8"/>
      <c r="T432" s="8"/>
      <c r="U432" s="8"/>
      <c r="V432" s="8"/>
      <c r="W432" s="8"/>
      <c r="X432" s="8"/>
      <c r="Y432" s="8"/>
      <c r="Z432" s="8"/>
    </row>
    <row r="433">
      <c r="A433" s="8">
        <f>IFERROR(__xludf.DUMMYFUNCTION("""COMPUTED_VALUE"""),764.0)</f>
        <v>764</v>
      </c>
      <c r="B433" s="8" t="str">
        <f>IFERROR(__xludf.DUMMYFUNCTION("""COMPUTED_VALUE"""),"tree")</f>
        <v>tree</v>
      </c>
      <c r="C433" s="8" t="str">
        <f>IFERROR(__xludf.DUMMYFUNCTION("""COMPUTED_VALUE"""),"graft")</f>
        <v>graft</v>
      </c>
      <c r="D433" s="55" t="str">
        <f>IFERROR(__xludf.DUMMYFUNCTION("""COMPUTED_VALUE"""),"Pouteria hypoglauca")</f>
        <v>Pouteria hypoglauca</v>
      </c>
      <c r="E433" s="8" t="str">
        <f>IFERROR(__xludf.DUMMYFUNCTION("""COMPUTED_VALUE"""),"Seedling")</f>
        <v>Seedling</v>
      </c>
      <c r="F433" s="8" t="str">
        <f>IFERROR(__xludf.DUMMYFUNCTION("""COMPUTED_VALUE"""),"Cinnamon Apple")</f>
        <v>Cinnamon Apple</v>
      </c>
      <c r="G433" s="8" t="str">
        <f>IFERROR(__xludf.DUMMYFUNCTION("""COMPUTED_VALUE"""),"Pomme à la cannelle")</f>
        <v>Pomme à la cannelle</v>
      </c>
      <c r="H433" s="8" t="str">
        <f>IFERROR(__xludf.DUMMYFUNCTION("""COMPUTED_VALUE"""),"Cinnamon Apple")</f>
        <v>Cinnamon Apple</v>
      </c>
      <c r="I433" s="8"/>
      <c r="J433" s="8"/>
      <c r="K433" s="8"/>
      <c r="L433" s="8" t="str">
        <f>IFERROR(__xludf.DUMMYFUNCTION("""COMPUTED_VALUE"""),"multiple")</f>
        <v>multiple</v>
      </c>
      <c r="M433" s="8">
        <f>IFERROR(__xludf.DUMMYFUNCTION("""COMPUTED_VALUE"""),1.0)</f>
        <v>1</v>
      </c>
      <c r="N433" s="8">
        <f>IFERROR(__xludf.DUMMYFUNCTION("""COMPUTED_VALUE"""),7.0)</f>
        <v>7</v>
      </c>
      <c r="O433" s="8"/>
      <c r="P433" s="8"/>
      <c r="Q433" s="8"/>
      <c r="R433" s="8"/>
      <c r="S433" s="8"/>
      <c r="T433" s="8"/>
      <c r="U433" s="8"/>
      <c r="V433" s="8"/>
      <c r="W433" s="8"/>
      <c r="X433" s="8"/>
      <c r="Y433" s="8"/>
      <c r="Z433" s="8"/>
    </row>
    <row r="434">
      <c r="A434" s="8">
        <f>IFERROR(__xludf.DUMMYFUNCTION("""COMPUTED_VALUE"""),765.0)</f>
        <v>765</v>
      </c>
      <c r="B434" s="8" t="str">
        <f>IFERROR(__xludf.DUMMYFUNCTION("""COMPUTED_VALUE"""),"tree")</f>
        <v>tree</v>
      </c>
      <c r="C434" s="8" t="str">
        <f>IFERROR(__xludf.DUMMYFUNCTION("""COMPUTED_VALUE"""),"graft")</f>
        <v>graft</v>
      </c>
      <c r="D434" s="55" t="str">
        <f>IFERROR(__xludf.DUMMYFUNCTION("""COMPUTED_VALUE"""),"Pouteria hypoglauca")</f>
        <v>Pouteria hypoglauca</v>
      </c>
      <c r="E434" s="8" t="str">
        <f>IFERROR(__xludf.DUMMYFUNCTION("""COMPUTED_VALUE"""),"Seedling")</f>
        <v>Seedling</v>
      </c>
      <c r="F434" s="8" t="str">
        <f>IFERROR(__xludf.DUMMYFUNCTION("""COMPUTED_VALUE"""),"Cinnamon Apple")</f>
        <v>Cinnamon Apple</v>
      </c>
      <c r="G434" s="8" t="str">
        <f>IFERROR(__xludf.DUMMYFUNCTION("""COMPUTED_VALUE"""),"Pomme à la cannelle")</f>
        <v>Pomme à la cannelle</v>
      </c>
      <c r="H434" s="8" t="str">
        <f>IFERROR(__xludf.DUMMYFUNCTION("""COMPUTED_VALUE"""),"cutting")</f>
        <v>cutting</v>
      </c>
      <c r="I434" s="8"/>
      <c r="J434" s="8"/>
      <c r="K434" s="8"/>
      <c r="L434" s="8" t="str">
        <f>IFERROR(__xludf.DUMMYFUNCTION("""COMPUTED_VALUE"""),"multiple")</f>
        <v>multiple</v>
      </c>
      <c r="M434" s="8">
        <f>IFERROR(__xludf.DUMMYFUNCTION("""COMPUTED_VALUE"""),1.0)</f>
        <v>1</v>
      </c>
      <c r="N434" s="8">
        <f>IFERROR(__xludf.DUMMYFUNCTION("""COMPUTED_VALUE"""),7.0)</f>
        <v>7</v>
      </c>
      <c r="O434" s="8"/>
      <c r="P434" s="8"/>
      <c r="Q434" s="8"/>
      <c r="R434" s="8"/>
      <c r="S434" s="8"/>
      <c r="T434" s="8"/>
      <c r="U434" s="8"/>
      <c r="V434" s="8"/>
      <c r="W434" s="8"/>
      <c r="X434" s="8"/>
      <c r="Y434" s="8"/>
      <c r="Z434" s="8"/>
    </row>
    <row r="435">
      <c r="A435" s="8">
        <f>IFERROR(__xludf.DUMMYFUNCTION("""COMPUTED_VALUE"""),766.0)</f>
        <v>766</v>
      </c>
      <c r="B435" s="8" t="str">
        <f>IFERROR(__xludf.DUMMYFUNCTION("""COMPUTED_VALUE"""),"tree")</f>
        <v>tree</v>
      </c>
      <c r="C435" s="8" t="str">
        <f>IFERROR(__xludf.DUMMYFUNCTION("""COMPUTED_VALUE"""),"graft")</f>
        <v>graft</v>
      </c>
      <c r="D435" s="55" t="str">
        <f>IFERROR(__xludf.DUMMYFUNCTION("""COMPUTED_VALUE"""),"Pouteria hypoglauca")</f>
        <v>Pouteria hypoglauca</v>
      </c>
      <c r="E435" s="8" t="str">
        <f>IFERROR(__xludf.DUMMYFUNCTION("""COMPUTED_VALUE"""),"Seedling")</f>
        <v>Seedling</v>
      </c>
      <c r="F435" s="8" t="str">
        <f>IFERROR(__xludf.DUMMYFUNCTION("""COMPUTED_VALUE"""),"Cinnamon Apple")</f>
        <v>Cinnamon Apple</v>
      </c>
      <c r="G435" s="8" t="str">
        <f>IFERROR(__xludf.DUMMYFUNCTION("""COMPUTED_VALUE"""),"Pomme à la cannelle")</f>
        <v>Pomme à la cannelle</v>
      </c>
      <c r="H435" s="8" t="str">
        <f>IFERROR(__xludf.DUMMYFUNCTION("""COMPUTED_VALUE"""),"cutting")</f>
        <v>cutting</v>
      </c>
      <c r="I435" s="8"/>
      <c r="J435" s="8"/>
      <c r="K435" s="8"/>
      <c r="L435" s="8" t="str">
        <f>IFERROR(__xludf.DUMMYFUNCTION("""COMPUTED_VALUE"""),"multiple")</f>
        <v>multiple</v>
      </c>
      <c r="M435" s="8">
        <f>IFERROR(__xludf.DUMMYFUNCTION("""COMPUTED_VALUE"""),1.0)</f>
        <v>1</v>
      </c>
      <c r="N435" s="8">
        <f>IFERROR(__xludf.DUMMYFUNCTION("""COMPUTED_VALUE"""),7.0)</f>
        <v>7</v>
      </c>
      <c r="O435" s="8"/>
      <c r="P435" s="8"/>
      <c r="Q435" s="8"/>
      <c r="R435" s="8"/>
      <c r="S435" s="8"/>
      <c r="T435" s="8"/>
      <c r="U435" s="8"/>
      <c r="V435" s="8"/>
      <c r="W435" s="8"/>
      <c r="X435" s="8"/>
      <c r="Y435" s="8"/>
      <c r="Z435" s="8"/>
    </row>
    <row r="436">
      <c r="A436" s="8">
        <f>IFERROR(__xludf.DUMMYFUNCTION("""COMPUTED_VALUE"""),767.0)</f>
        <v>767</v>
      </c>
      <c r="B436" s="8" t="str">
        <f>IFERROR(__xludf.DUMMYFUNCTION("""COMPUTED_VALUE"""),"tree")</f>
        <v>tree</v>
      </c>
      <c r="C436" s="8" t="str">
        <f>IFERROR(__xludf.DUMMYFUNCTION("""COMPUTED_VALUE"""),"graft")</f>
        <v>graft</v>
      </c>
      <c r="D436" s="55" t="str">
        <f>IFERROR(__xludf.DUMMYFUNCTION("""COMPUTED_VALUE"""),"Artocarpus heterophyllus")</f>
        <v>Artocarpus heterophyllus</v>
      </c>
      <c r="E436" s="8" t="str">
        <f>IFERROR(__xludf.DUMMYFUNCTION("""COMPUTED_VALUE"""),"Cantaloupe")</f>
        <v>Cantaloupe</v>
      </c>
      <c r="F436" s="8" t="str">
        <f>IFERROR(__xludf.DUMMYFUNCTION("""COMPUTED_VALUE"""),"Jackfruit")</f>
        <v>Jackfruit</v>
      </c>
      <c r="G436" s="8" t="str">
        <f>IFERROR(__xludf.DUMMYFUNCTION("""COMPUTED_VALUE"""),"Jacquier")</f>
        <v>Jacquier</v>
      </c>
      <c r="H436" s="8" t="str">
        <f>IFERROR(__xludf.DUMMYFUNCTION("""COMPUTED_VALUE"""),"Jackfruit")</f>
        <v>Jackfruit</v>
      </c>
      <c r="I436" s="8"/>
      <c r="J436" s="8"/>
      <c r="K436" s="8"/>
      <c r="L436" s="8" t="str">
        <f>IFERROR(__xludf.DUMMYFUNCTION("""COMPUTED_VALUE"""),"multiple")</f>
        <v>multiple</v>
      </c>
      <c r="M436" s="8">
        <f>IFERROR(__xludf.DUMMYFUNCTION("""COMPUTED_VALUE"""),1.0)</f>
        <v>1</v>
      </c>
      <c r="N436" s="8">
        <f>IFERROR(__xludf.DUMMYFUNCTION("""COMPUTED_VALUE"""),2.0)</f>
        <v>2</v>
      </c>
      <c r="O436" s="8"/>
      <c r="P436" s="8"/>
      <c r="Q436" s="8"/>
      <c r="R436" s="8"/>
      <c r="S436" s="8"/>
      <c r="T436" s="8"/>
      <c r="U436" s="8"/>
      <c r="V436" s="8"/>
      <c r="W436" s="8"/>
      <c r="X436" s="8"/>
      <c r="Y436" s="8"/>
      <c r="Z436" s="8"/>
    </row>
    <row r="437">
      <c r="A437" s="8">
        <f>IFERROR(__xludf.DUMMYFUNCTION("""COMPUTED_VALUE"""),768.0)</f>
        <v>768</v>
      </c>
      <c r="B437" s="8" t="str">
        <f>IFERROR(__xludf.DUMMYFUNCTION("""COMPUTED_VALUE"""),"tree")</f>
        <v>tree</v>
      </c>
      <c r="C437" s="8" t="str">
        <f>IFERROR(__xludf.DUMMYFUNCTION("""COMPUTED_VALUE"""),"graft")</f>
        <v>graft</v>
      </c>
      <c r="D437" s="55" t="str">
        <f>IFERROR(__xludf.DUMMYFUNCTION("""COMPUTED_VALUE"""),"Artocarpus heterophyllus")</f>
        <v>Artocarpus heterophyllus</v>
      </c>
      <c r="E437" s="8" t="str">
        <f>IFERROR(__xludf.DUMMYFUNCTION("""COMPUTED_VALUE"""),"J31")</f>
        <v>J31</v>
      </c>
      <c r="F437" s="8" t="str">
        <f>IFERROR(__xludf.DUMMYFUNCTION("""COMPUTED_VALUE"""),"Jackfruit")</f>
        <v>Jackfruit</v>
      </c>
      <c r="G437" s="8" t="str">
        <f>IFERROR(__xludf.DUMMYFUNCTION("""COMPUTED_VALUE"""),"Jacquier")</f>
        <v>Jacquier</v>
      </c>
      <c r="H437" s="8" t="str">
        <f>IFERROR(__xludf.DUMMYFUNCTION("""COMPUTED_VALUE"""),"Jackfruit")</f>
        <v>Jackfruit</v>
      </c>
      <c r="I437" s="8" t="str">
        <f>IFERROR(__xludf.DUMMYFUNCTION("""COMPUTED_VALUE"""),"207")</f>
        <v>207</v>
      </c>
      <c r="J437" s="8"/>
      <c r="K437" s="8"/>
      <c r="L437" s="8" t="str">
        <f>IFERROR(__xludf.DUMMYFUNCTION("""COMPUTED_VALUE"""),"multiple")</f>
        <v>multiple</v>
      </c>
      <c r="M437" s="8">
        <f>IFERROR(__xludf.DUMMYFUNCTION("""COMPUTED_VALUE"""),1.0)</f>
        <v>1</v>
      </c>
      <c r="N437" s="8">
        <f>IFERROR(__xludf.DUMMYFUNCTION("""COMPUTED_VALUE"""),1.0)</f>
        <v>1</v>
      </c>
      <c r="O437" s="8"/>
      <c r="P437" s="8"/>
      <c r="Q437" s="8"/>
      <c r="R437" s="8"/>
      <c r="S437" s="8"/>
      <c r="T437" s="8"/>
      <c r="U437" s="8"/>
      <c r="V437" s="8"/>
      <c r="W437" s="8"/>
      <c r="X437" s="8"/>
      <c r="Y437" s="8"/>
      <c r="Z437" s="8"/>
    </row>
    <row r="438">
      <c r="A438" s="8">
        <f>IFERROR(__xludf.DUMMYFUNCTION("""COMPUTED_VALUE"""),769.0)</f>
        <v>769</v>
      </c>
      <c r="B438" s="8" t="str">
        <f>IFERROR(__xludf.DUMMYFUNCTION("""COMPUTED_VALUE"""),"tree")</f>
        <v>tree</v>
      </c>
      <c r="C438" s="8" t="str">
        <f>IFERROR(__xludf.DUMMYFUNCTION("""COMPUTED_VALUE"""),"seed")</f>
        <v>seed</v>
      </c>
      <c r="D438" s="55" t="str">
        <f>IFERROR(__xludf.DUMMYFUNCTION("""COMPUTED_VALUE"""),"Pachira glabra")</f>
        <v>Pachira glabra</v>
      </c>
      <c r="E438" s="8" t="str">
        <f>IFERROR(__xludf.DUMMYFUNCTION("""COMPUTED_VALUE"""),"Seedling")</f>
        <v>Seedling</v>
      </c>
      <c r="F438" s="8" t="str">
        <f>IFERROR(__xludf.DUMMYFUNCTION("""COMPUTED_VALUE"""),"Money Tree")</f>
        <v>Money Tree</v>
      </c>
      <c r="G438" s="8" t="str">
        <f>IFERROR(__xludf.DUMMYFUNCTION("""COMPUTED_VALUE"""),"Arbre à argent")</f>
        <v>Arbre à argent</v>
      </c>
      <c r="H438" s="8" t="str">
        <f>IFERROR(__xludf.DUMMYFUNCTION("""COMPUTED_VALUE"""),"Money Tree")</f>
        <v>Money Tree</v>
      </c>
      <c r="I438" s="8" t="str">
        <f>IFERROR(__xludf.DUMMYFUNCTION("""COMPUTED_VALUE"""),"M20A")</f>
        <v>M20A</v>
      </c>
      <c r="J438" s="8"/>
      <c r="K438" s="8"/>
      <c r="L438" s="8" t="str">
        <f>IFERROR(__xludf.DUMMYFUNCTION("""COMPUTED_VALUE"""),"multiple")</f>
        <v>multiple</v>
      </c>
      <c r="M438" s="8">
        <f>IFERROR(__xludf.DUMMYFUNCTION("""COMPUTED_VALUE"""),2.0)</f>
        <v>2</v>
      </c>
      <c r="N438" s="8">
        <f>IFERROR(__xludf.DUMMYFUNCTION("""COMPUTED_VALUE"""),3.0)</f>
        <v>3</v>
      </c>
      <c r="O438" s="8"/>
      <c r="P438" s="8"/>
      <c r="Q438" s="8"/>
      <c r="R438" s="8"/>
      <c r="S438" s="8"/>
      <c r="T438" s="8"/>
      <c r="U438" s="8"/>
      <c r="V438" s="8"/>
      <c r="W438" s="8"/>
      <c r="X438" s="8"/>
      <c r="Y438" s="8"/>
      <c r="Z438" s="8"/>
    </row>
    <row r="439">
      <c r="A439" s="8">
        <f>IFERROR(__xludf.DUMMYFUNCTION("""COMPUTED_VALUE"""),770.0)</f>
        <v>770</v>
      </c>
      <c r="B439" s="8" t="str">
        <f>IFERROR(__xludf.DUMMYFUNCTION("""COMPUTED_VALUE"""),"tree")</f>
        <v>tree</v>
      </c>
      <c r="C439" s="8" t="str">
        <f>IFERROR(__xludf.DUMMYFUNCTION("""COMPUTED_VALUE"""),"seed")</f>
        <v>seed</v>
      </c>
      <c r="D439" s="55" t="str">
        <f>IFERROR(__xludf.DUMMYFUNCTION("""COMPUTED_VALUE"""),"Pachira glabra")</f>
        <v>Pachira glabra</v>
      </c>
      <c r="E439" s="8" t="str">
        <f>IFERROR(__xludf.DUMMYFUNCTION("""COMPUTED_VALUE"""),"Seedling")</f>
        <v>Seedling</v>
      </c>
      <c r="F439" s="8" t="str">
        <f>IFERROR(__xludf.DUMMYFUNCTION("""COMPUTED_VALUE"""),"Money Tree")</f>
        <v>Money Tree</v>
      </c>
      <c r="G439" s="8" t="str">
        <f>IFERROR(__xludf.DUMMYFUNCTION("""COMPUTED_VALUE"""),"Arbre à argent")</f>
        <v>Arbre à argent</v>
      </c>
      <c r="H439" s="8" t="str">
        <f>IFERROR(__xludf.DUMMYFUNCTION("""COMPUTED_VALUE"""),"Money Tree")</f>
        <v>Money Tree</v>
      </c>
      <c r="I439" s="8"/>
      <c r="J439" s="8"/>
      <c r="K439" s="8"/>
      <c r="L439" s="8" t="str">
        <f>IFERROR(__xludf.DUMMYFUNCTION("""COMPUTED_VALUE"""),"multiple")</f>
        <v>multiple</v>
      </c>
      <c r="M439" s="8">
        <f>IFERROR(__xludf.DUMMYFUNCTION("""COMPUTED_VALUE"""),0.0)</f>
        <v>0</v>
      </c>
      <c r="N439" s="8">
        <f>IFERROR(__xludf.DUMMYFUNCTION("""COMPUTED_VALUE"""),0.0)</f>
        <v>0</v>
      </c>
      <c r="O439" s="8"/>
      <c r="P439" s="8"/>
      <c r="Q439" s="8"/>
      <c r="R439" s="8"/>
      <c r="S439" s="8"/>
      <c r="T439" s="8"/>
      <c r="U439" s="8"/>
      <c r="V439" s="8"/>
      <c r="W439" s="8"/>
      <c r="X439" s="8"/>
      <c r="Y439" s="8"/>
      <c r="Z439" s="8"/>
    </row>
    <row r="440">
      <c r="A440" s="8">
        <f>IFERROR(__xludf.DUMMYFUNCTION("""COMPUTED_VALUE"""),771.0)</f>
        <v>771</v>
      </c>
      <c r="B440" s="8" t="str">
        <f>IFERROR(__xludf.DUMMYFUNCTION("""COMPUTED_VALUE"""),"tree")</f>
        <v>tree</v>
      </c>
      <c r="C440" s="8" t="str">
        <f>IFERROR(__xludf.DUMMYFUNCTION("""COMPUTED_VALUE"""),"seed")</f>
        <v>seed</v>
      </c>
      <c r="D440" s="55" t="str">
        <f>IFERROR(__xludf.DUMMYFUNCTION("""COMPUTED_VALUE"""),"Pachira glabra")</f>
        <v>Pachira glabra</v>
      </c>
      <c r="E440" s="8" t="str">
        <f>IFERROR(__xludf.DUMMYFUNCTION("""COMPUTED_VALUE"""),"Seedling")</f>
        <v>Seedling</v>
      </c>
      <c r="F440" s="8" t="str">
        <f>IFERROR(__xludf.DUMMYFUNCTION("""COMPUTED_VALUE"""),"Money Tree")</f>
        <v>Money Tree</v>
      </c>
      <c r="G440" s="8" t="str">
        <f>IFERROR(__xludf.DUMMYFUNCTION("""COMPUTED_VALUE"""),"Arbre à argent")</f>
        <v>Arbre à argent</v>
      </c>
      <c r="H440" s="8" t="str">
        <f>IFERROR(__xludf.DUMMYFUNCTION("""COMPUTED_VALUE"""),"Money Tree")</f>
        <v>Money Tree</v>
      </c>
      <c r="I440" s="8"/>
      <c r="J440" s="8"/>
      <c r="K440" s="8"/>
      <c r="L440" s="8" t="str">
        <f>IFERROR(__xludf.DUMMYFUNCTION("""COMPUTED_VALUE"""),"multiple")</f>
        <v>multiple</v>
      </c>
      <c r="M440" s="8">
        <f>IFERROR(__xludf.DUMMYFUNCTION("""COMPUTED_VALUE"""),0.0)</f>
        <v>0</v>
      </c>
      <c r="N440" s="8">
        <f>IFERROR(__xludf.DUMMYFUNCTION("""COMPUTED_VALUE"""),0.0)</f>
        <v>0</v>
      </c>
      <c r="O440" s="8"/>
      <c r="P440" s="8"/>
      <c r="Q440" s="8"/>
      <c r="R440" s="8"/>
      <c r="S440" s="8"/>
      <c r="T440" s="8"/>
      <c r="U440" s="8"/>
      <c r="V440" s="8"/>
      <c r="W440" s="8"/>
      <c r="X440" s="8"/>
      <c r="Y440" s="8"/>
      <c r="Z440" s="8"/>
    </row>
    <row r="441">
      <c r="A441" s="8">
        <f>IFERROR(__xludf.DUMMYFUNCTION("""COMPUTED_VALUE"""),772.0)</f>
        <v>772</v>
      </c>
      <c r="B441" s="8" t="str">
        <f>IFERROR(__xludf.DUMMYFUNCTION("""COMPUTED_VALUE"""),"tree")</f>
        <v>tree</v>
      </c>
      <c r="C441" s="8" t="str">
        <f>IFERROR(__xludf.DUMMYFUNCTION("""COMPUTED_VALUE"""),"seed")</f>
        <v>seed</v>
      </c>
      <c r="D441" s="55" t="str">
        <f>IFERROR(__xludf.DUMMYFUNCTION("""COMPUTED_VALUE"""),"Pachira glabra")</f>
        <v>Pachira glabra</v>
      </c>
      <c r="E441" s="8" t="str">
        <f>IFERROR(__xludf.DUMMYFUNCTION("""COMPUTED_VALUE"""),"Seedling")</f>
        <v>Seedling</v>
      </c>
      <c r="F441" s="8" t="str">
        <f>IFERROR(__xludf.DUMMYFUNCTION("""COMPUTED_VALUE"""),"Money Tree")</f>
        <v>Money Tree</v>
      </c>
      <c r="G441" s="8" t="str">
        <f>IFERROR(__xludf.DUMMYFUNCTION("""COMPUTED_VALUE"""),"Arbre à argent")</f>
        <v>Arbre à argent</v>
      </c>
      <c r="H441" s="8" t="str">
        <f>IFERROR(__xludf.DUMMYFUNCTION("""COMPUTED_VALUE"""),"Money Tree")</f>
        <v>Money Tree</v>
      </c>
      <c r="I441" s="8" t="str">
        <f>IFERROR(__xludf.DUMMYFUNCTION("""COMPUTED_VALUE"""),"027")</f>
        <v>027</v>
      </c>
      <c r="J441" s="8"/>
      <c r="K441" s="8"/>
      <c r="L441" s="8" t="str">
        <f>IFERROR(__xludf.DUMMYFUNCTION("""COMPUTED_VALUE"""),"multiple")</f>
        <v>multiple</v>
      </c>
      <c r="M441" s="8">
        <f>IFERROR(__xludf.DUMMYFUNCTION("""COMPUTED_VALUE"""),0.0)</f>
        <v>0</v>
      </c>
      <c r="N441" s="8">
        <f>IFERROR(__xludf.DUMMYFUNCTION("""COMPUTED_VALUE"""),0.0)</f>
        <v>0</v>
      </c>
      <c r="O441" s="8"/>
      <c r="P441" s="8"/>
      <c r="Q441" s="8"/>
      <c r="R441" s="8"/>
      <c r="S441" s="8"/>
      <c r="T441" s="8"/>
      <c r="U441" s="8"/>
      <c r="V441" s="8"/>
      <c r="W441" s="8"/>
      <c r="X441" s="8"/>
      <c r="Y441" s="8"/>
      <c r="Z441" s="8"/>
    </row>
    <row r="442">
      <c r="A442" s="8">
        <f>IFERROR(__xludf.DUMMYFUNCTION("""COMPUTED_VALUE"""),773.0)</f>
        <v>773</v>
      </c>
      <c r="B442" s="8" t="str">
        <f>IFERROR(__xludf.DUMMYFUNCTION("""COMPUTED_VALUE"""),"tree")</f>
        <v>tree</v>
      </c>
      <c r="C442" s="8" t="str">
        <f>IFERROR(__xludf.DUMMYFUNCTION("""COMPUTED_VALUE"""),"graft")</f>
        <v>graft</v>
      </c>
      <c r="D442" s="55" t="str">
        <f>IFERROR(__xludf.DUMMYFUNCTION("""COMPUTED_VALUE"""),"Pouteria hypoglauca")</f>
        <v>Pouteria hypoglauca</v>
      </c>
      <c r="E442" s="8" t="str">
        <f>IFERROR(__xludf.DUMMYFUNCTION("""COMPUTED_VALUE"""),"Seedling")</f>
        <v>Seedling</v>
      </c>
      <c r="F442" s="8" t="str">
        <f>IFERROR(__xludf.DUMMYFUNCTION("""COMPUTED_VALUE"""),"Cinnamon Apple")</f>
        <v>Cinnamon Apple</v>
      </c>
      <c r="G442" s="8" t="str">
        <f>IFERROR(__xludf.DUMMYFUNCTION("""COMPUTED_VALUE"""),"Pomme à la cannelle")</f>
        <v>Pomme à la cannelle</v>
      </c>
      <c r="H442" s="8" t="str">
        <f>IFERROR(__xludf.DUMMYFUNCTION("""COMPUTED_VALUE"""),"cutting")</f>
        <v>cutting</v>
      </c>
      <c r="I442" s="8"/>
      <c r="J442" s="8"/>
      <c r="K442" s="8"/>
      <c r="L442" s="8" t="str">
        <f>IFERROR(__xludf.DUMMYFUNCTION("""COMPUTED_VALUE"""),"multiple")</f>
        <v>multiple</v>
      </c>
      <c r="M442" s="8">
        <f>IFERROR(__xludf.DUMMYFUNCTION("""COMPUTED_VALUE"""),0.0)</f>
        <v>0</v>
      </c>
      <c r="N442" s="8">
        <f>IFERROR(__xludf.DUMMYFUNCTION("""COMPUTED_VALUE"""),0.0)</f>
        <v>0</v>
      </c>
      <c r="O442" s="8"/>
      <c r="P442" s="8"/>
      <c r="Q442" s="8"/>
      <c r="R442" s="8"/>
      <c r="S442" s="8"/>
      <c r="T442" s="8"/>
      <c r="U442" s="8"/>
      <c r="V442" s="8"/>
      <c r="W442" s="8"/>
      <c r="X442" s="8"/>
      <c r="Y442" s="8"/>
      <c r="Z442" s="8"/>
    </row>
    <row r="443">
      <c r="A443" s="8">
        <f>IFERROR(__xludf.DUMMYFUNCTION("""COMPUTED_VALUE"""),774.0)</f>
        <v>774</v>
      </c>
      <c r="B443" s="8" t="str">
        <f>IFERROR(__xludf.DUMMYFUNCTION("""COMPUTED_VALUE"""),"tree")</f>
        <v>tree</v>
      </c>
      <c r="C443" s="8" t="str">
        <f>IFERROR(__xludf.DUMMYFUNCTION("""COMPUTED_VALUE"""),"graft")</f>
        <v>graft</v>
      </c>
      <c r="D443" s="55" t="str">
        <f>IFERROR(__xludf.DUMMYFUNCTION("""COMPUTED_VALUE"""),"Pouteria hypoglauca")</f>
        <v>Pouteria hypoglauca</v>
      </c>
      <c r="E443" s="8" t="str">
        <f>IFERROR(__xludf.DUMMYFUNCTION("""COMPUTED_VALUE"""),"Seedling")</f>
        <v>Seedling</v>
      </c>
      <c r="F443" s="8" t="str">
        <f>IFERROR(__xludf.DUMMYFUNCTION("""COMPUTED_VALUE"""),"Cinnamon Apple")</f>
        <v>Cinnamon Apple</v>
      </c>
      <c r="G443" s="8" t="str">
        <f>IFERROR(__xludf.DUMMYFUNCTION("""COMPUTED_VALUE"""),"Pomme à la cannelle")</f>
        <v>Pomme à la cannelle</v>
      </c>
      <c r="H443" s="8" t="str">
        <f>IFERROR(__xludf.DUMMYFUNCTION("""COMPUTED_VALUE"""),"seed")</f>
        <v>seed</v>
      </c>
      <c r="I443" s="8"/>
      <c r="J443" s="8"/>
      <c r="K443" s="8"/>
      <c r="L443" s="8" t="str">
        <f>IFERROR(__xludf.DUMMYFUNCTION("""COMPUTED_VALUE"""),"multiple")</f>
        <v>multiple</v>
      </c>
      <c r="M443" s="8">
        <f>IFERROR(__xludf.DUMMYFUNCTION("""COMPUTED_VALUE"""),1.0)</f>
        <v>1</v>
      </c>
      <c r="N443" s="8">
        <f>IFERROR(__xludf.DUMMYFUNCTION("""COMPUTED_VALUE"""),7.0)</f>
        <v>7</v>
      </c>
      <c r="O443" s="8"/>
      <c r="P443" s="8"/>
      <c r="Q443" s="8"/>
      <c r="R443" s="8"/>
      <c r="S443" s="8"/>
      <c r="T443" s="8"/>
      <c r="U443" s="8"/>
      <c r="V443" s="8"/>
      <c r="W443" s="8"/>
      <c r="X443" s="8"/>
      <c r="Y443" s="8"/>
      <c r="Z443" s="8"/>
    </row>
    <row r="444">
      <c r="A444" s="8">
        <f>IFERROR(__xludf.DUMMYFUNCTION("""COMPUTED_VALUE"""),775.0)</f>
        <v>775</v>
      </c>
      <c r="B444" s="8" t="str">
        <f>IFERROR(__xludf.DUMMYFUNCTION("""COMPUTED_VALUE"""),"tree")</f>
        <v>tree</v>
      </c>
      <c r="C444" s="8" t="str">
        <f>IFERROR(__xludf.DUMMYFUNCTION("""COMPUTED_VALUE"""),"graft")</f>
        <v>graft</v>
      </c>
      <c r="D444" s="55" t="str">
        <f>IFERROR(__xludf.DUMMYFUNCTION("""COMPUTED_VALUE"""),"Pouteria hypoglauca")</f>
        <v>Pouteria hypoglauca</v>
      </c>
      <c r="E444" s="8" t="str">
        <f>IFERROR(__xludf.DUMMYFUNCTION("""COMPUTED_VALUE"""),"Seedling")</f>
        <v>Seedling</v>
      </c>
      <c r="F444" s="8" t="str">
        <f>IFERROR(__xludf.DUMMYFUNCTION("""COMPUTED_VALUE"""),"Cinnamon Apple")</f>
        <v>Cinnamon Apple</v>
      </c>
      <c r="G444" s="8" t="str">
        <f>IFERROR(__xludf.DUMMYFUNCTION("""COMPUTED_VALUE"""),"Pomme à la cannelle")</f>
        <v>Pomme à la cannelle</v>
      </c>
      <c r="H444" s="8" t="str">
        <f>IFERROR(__xludf.DUMMYFUNCTION("""COMPUTED_VALUE"""),"seed")</f>
        <v>seed</v>
      </c>
      <c r="I444" s="8"/>
      <c r="J444" s="8"/>
      <c r="K444" s="8"/>
      <c r="L444" s="8" t="str">
        <f>IFERROR(__xludf.DUMMYFUNCTION("""COMPUTED_VALUE"""),"multiple")</f>
        <v>multiple</v>
      </c>
      <c r="M444" s="8">
        <f>IFERROR(__xludf.DUMMYFUNCTION("""COMPUTED_VALUE"""),1.0)</f>
        <v>1</v>
      </c>
      <c r="N444" s="8">
        <f>IFERROR(__xludf.DUMMYFUNCTION("""COMPUTED_VALUE"""),7.0)</f>
        <v>7</v>
      </c>
      <c r="O444" s="8"/>
      <c r="P444" s="8"/>
      <c r="Q444" s="8"/>
      <c r="R444" s="8"/>
      <c r="S444" s="8"/>
      <c r="T444" s="8"/>
      <c r="U444" s="8"/>
      <c r="V444" s="8"/>
      <c r="W444" s="8"/>
      <c r="X444" s="8"/>
      <c r="Y444" s="8"/>
      <c r="Z444" s="8"/>
    </row>
    <row r="445">
      <c r="A445" s="8">
        <f>IFERROR(__xludf.DUMMYFUNCTION("""COMPUTED_VALUE"""),776.0)</f>
        <v>776</v>
      </c>
      <c r="B445" s="8" t="str">
        <f>IFERROR(__xludf.DUMMYFUNCTION("""COMPUTED_VALUE"""),"tree")</f>
        <v>tree</v>
      </c>
      <c r="C445" s="8" t="str">
        <f>IFERROR(__xludf.DUMMYFUNCTION("""COMPUTED_VALUE"""),"graft")</f>
        <v>graft</v>
      </c>
      <c r="D445" s="55" t="str">
        <f>IFERROR(__xludf.DUMMYFUNCTION("""COMPUTED_VALUE"""),"Pouteria hypoglauca")</f>
        <v>Pouteria hypoglauca</v>
      </c>
      <c r="E445" s="8" t="str">
        <f>IFERROR(__xludf.DUMMYFUNCTION("""COMPUTED_VALUE"""),"Seedling")</f>
        <v>Seedling</v>
      </c>
      <c r="F445" s="8" t="str">
        <f>IFERROR(__xludf.DUMMYFUNCTION("""COMPUTED_VALUE"""),"Cinnamon Apple")</f>
        <v>Cinnamon Apple</v>
      </c>
      <c r="G445" s="8" t="str">
        <f>IFERROR(__xludf.DUMMYFUNCTION("""COMPUTED_VALUE"""),"Pomme à la cannelle")</f>
        <v>Pomme à la cannelle</v>
      </c>
      <c r="H445" s="8" t="str">
        <f>IFERROR(__xludf.DUMMYFUNCTION("""COMPUTED_VALUE"""),"seed")</f>
        <v>seed</v>
      </c>
      <c r="I445" s="8" t="str">
        <f>IFERROR(__xludf.DUMMYFUNCTION("""COMPUTED_VALUE"""),"080")</f>
        <v>080</v>
      </c>
      <c r="J445" s="8"/>
      <c r="K445" s="8"/>
      <c r="L445" s="8" t="str">
        <f>IFERROR(__xludf.DUMMYFUNCTION("""COMPUTED_VALUE"""),"multiple")</f>
        <v>multiple</v>
      </c>
      <c r="M445" s="8">
        <f>IFERROR(__xludf.DUMMYFUNCTION("""COMPUTED_VALUE"""),1.0)</f>
        <v>1</v>
      </c>
      <c r="N445" s="8">
        <f>IFERROR(__xludf.DUMMYFUNCTION("""COMPUTED_VALUE"""),7.0)</f>
        <v>7</v>
      </c>
      <c r="O445" s="8"/>
      <c r="P445" s="8"/>
      <c r="Q445" s="8"/>
      <c r="R445" s="8"/>
      <c r="S445" s="8"/>
      <c r="T445" s="8"/>
      <c r="U445" s="8"/>
      <c r="V445" s="8"/>
      <c r="W445" s="8"/>
      <c r="X445" s="8"/>
      <c r="Y445" s="8"/>
      <c r="Z445" s="8"/>
    </row>
    <row r="446">
      <c r="A446" s="8">
        <f>IFERROR(__xludf.DUMMYFUNCTION("""COMPUTED_VALUE"""),777.0)</f>
        <v>777</v>
      </c>
      <c r="B446" s="8" t="str">
        <f>IFERROR(__xludf.DUMMYFUNCTION("""COMPUTED_VALUE"""),"tree")</f>
        <v>tree</v>
      </c>
      <c r="C446" s="8" t="str">
        <f>IFERROR(__xludf.DUMMYFUNCTION("""COMPUTED_VALUE"""),"seed")</f>
        <v>seed</v>
      </c>
      <c r="D446" s="55" t="str">
        <f>IFERROR(__xludf.DUMMYFUNCTION("""COMPUTED_VALUE"""),"Pachira glabra")</f>
        <v>Pachira glabra</v>
      </c>
      <c r="E446" s="8" t="str">
        <f>IFERROR(__xludf.DUMMYFUNCTION("""COMPUTED_VALUE"""),"Seedling")</f>
        <v>Seedling</v>
      </c>
      <c r="F446" s="8" t="str">
        <f>IFERROR(__xludf.DUMMYFUNCTION("""COMPUTED_VALUE"""),"Money Tree")</f>
        <v>Money Tree</v>
      </c>
      <c r="G446" s="8" t="str">
        <f>IFERROR(__xludf.DUMMYFUNCTION("""COMPUTED_VALUE"""),"Arbre à argent")</f>
        <v>Arbre à argent</v>
      </c>
      <c r="H446" s="8" t="str">
        <f>IFERROR(__xludf.DUMMYFUNCTION("""COMPUTED_VALUE"""),"Money Tree")</f>
        <v>Money Tree</v>
      </c>
      <c r="I446" s="8"/>
      <c r="J446" s="8"/>
      <c r="K446" s="8"/>
      <c r="L446" s="8" t="str">
        <f>IFERROR(__xludf.DUMMYFUNCTION("""COMPUTED_VALUE"""),"multiple")</f>
        <v>multiple</v>
      </c>
      <c r="M446" s="8">
        <f>IFERROR(__xludf.DUMMYFUNCTION("""COMPUTED_VALUE"""),2.0)</f>
        <v>2</v>
      </c>
      <c r="N446" s="8">
        <f>IFERROR(__xludf.DUMMYFUNCTION("""COMPUTED_VALUE"""),3.0)</f>
        <v>3</v>
      </c>
      <c r="O446" s="8"/>
      <c r="P446" s="8"/>
      <c r="Q446" s="8"/>
      <c r="R446" s="8"/>
      <c r="S446" s="8"/>
      <c r="T446" s="8"/>
      <c r="U446" s="8"/>
      <c r="V446" s="8"/>
      <c r="W446" s="8"/>
      <c r="X446" s="8"/>
      <c r="Y446" s="8"/>
      <c r="Z446" s="8"/>
    </row>
    <row r="447">
      <c r="A447" s="8">
        <f>IFERROR(__xludf.DUMMYFUNCTION("""COMPUTED_VALUE"""),778.0)</f>
        <v>778</v>
      </c>
      <c r="B447" s="8" t="str">
        <f>IFERROR(__xludf.DUMMYFUNCTION("""COMPUTED_VALUE"""),"tree")</f>
        <v>tree</v>
      </c>
      <c r="C447" s="8" t="str">
        <f>IFERROR(__xludf.DUMMYFUNCTION("""COMPUTED_VALUE"""),"seed")</f>
        <v>seed</v>
      </c>
      <c r="D447" s="55" t="str">
        <f>IFERROR(__xludf.DUMMYFUNCTION("""COMPUTED_VALUE"""),"Pachira glabra")</f>
        <v>Pachira glabra</v>
      </c>
      <c r="E447" s="8" t="str">
        <f>IFERROR(__xludf.DUMMYFUNCTION("""COMPUTED_VALUE"""),"Seedling")</f>
        <v>Seedling</v>
      </c>
      <c r="F447" s="8" t="str">
        <f>IFERROR(__xludf.DUMMYFUNCTION("""COMPUTED_VALUE"""),"Money Tree")</f>
        <v>Money Tree</v>
      </c>
      <c r="G447" s="8" t="str">
        <f>IFERROR(__xludf.DUMMYFUNCTION("""COMPUTED_VALUE"""),"Arbre à argent")</f>
        <v>Arbre à argent</v>
      </c>
      <c r="H447" s="8" t="str">
        <f>IFERROR(__xludf.DUMMYFUNCTION("""COMPUTED_VALUE"""),"Money Tree")</f>
        <v>Money Tree</v>
      </c>
      <c r="I447" s="8" t="str">
        <f>IFERROR(__xludf.DUMMYFUNCTION("""COMPUTED_VALUE"""),"193")</f>
        <v>193</v>
      </c>
      <c r="J447" s="8"/>
      <c r="K447" s="8"/>
      <c r="L447" s="8" t="str">
        <f>IFERROR(__xludf.DUMMYFUNCTION("""COMPUTED_VALUE"""),"multiple")</f>
        <v>multiple</v>
      </c>
      <c r="M447" s="8">
        <f>IFERROR(__xludf.DUMMYFUNCTION("""COMPUTED_VALUE"""),2.0)</f>
        <v>2</v>
      </c>
      <c r="N447" s="8">
        <f>IFERROR(__xludf.DUMMYFUNCTION("""COMPUTED_VALUE"""),3.0)</f>
        <v>3</v>
      </c>
      <c r="O447" s="8"/>
      <c r="P447" s="8"/>
      <c r="Q447" s="8"/>
      <c r="R447" s="8"/>
      <c r="S447" s="8"/>
      <c r="T447" s="8"/>
      <c r="U447" s="8"/>
      <c r="V447" s="8"/>
      <c r="W447" s="8"/>
      <c r="X447" s="8"/>
      <c r="Y447" s="8"/>
      <c r="Z447" s="8"/>
    </row>
    <row r="448">
      <c r="A448" s="8">
        <f>IFERROR(__xludf.DUMMYFUNCTION("""COMPUTED_VALUE"""),779.0)</f>
        <v>779</v>
      </c>
      <c r="B448" s="8" t="str">
        <f>IFERROR(__xludf.DUMMYFUNCTION("""COMPUTED_VALUE"""),"tree")</f>
        <v>tree</v>
      </c>
      <c r="C448" s="8" t="str">
        <f>IFERROR(__xludf.DUMMYFUNCTION("""COMPUTED_VALUE"""),"graft")</f>
        <v>graft</v>
      </c>
      <c r="D448" s="55" t="str">
        <f>IFERROR(__xludf.DUMMYFUNCTION("""COMPUTED_VALUE"""),"Persea americana")</f>
        <v>Persea americana</v>
      </c>
      <c r="E448" s="8" t="str">
        <f>IFERROR(__xludf.DUMMYFUNCTION("""COMPUTED_VALUE"""),"Choquette")</f>
        <v>Choquette</v>
      </c>
      <c r="F448" s="8" t="str">
        <f>IFERROR(__xludf.DUMMYFUNCTION("""COMPUTED_VALUE"""),"Avocado")</f>
        <v>Avocado</v>
      </c>
      <c r="G448" s="8" t="str">
        <f>IFERROR(__xludf.DUMMYFUNCTION("""COMPUTED_VALUE"""),"Avocat")</f>
        <v>Avocat</v>
      </c>
      <c r="H448" s="8" t="str">
        <f>IFERROR(__xludf.DUMMYFUNCTION("""COMPUTED_VALUE"""),"Avocado")</f>
        <v>Avocado</v>
      </c>
      <c r="I448" s="8" t="str">
        <f>IFERROR(__xludf.DUMMYFUNCTION("""COMPUTED_VALUE"""),"107")</f>
        <v>107</v>
      </c>
      <c r="J448" s="8"/>
      <c r="K448" s="8"/>
      <c r="L448" s="8">
        <f>IFERROR(__xludf.DUMMYFUNCTION("""COMPUTED_VALUE"""),1.0)</f>
        <v>1</v>
      </c>
      <c r="M448" s="8">
        <f>IFERROR(__xludf.DUMMYFUNCTION("""COMPUTED_VALUE"""),2.0)</f>
        <v>2</v>
      </c>
      <c r="N448" s="8">
        <f>IFERROR(__xludf.DUMMYFUNCTION("""COMPUTED_VALUE"""),3.0)</f>
        <v>3</v>
      </c>
      <c r="O448" s="8"/>
      <c r="P448" s="8"/>
      <c r="Q448" s="8"/>
      <c r="R448" s="8"/>
      <c r="S448" s="8"/>
      <c r="T448" s="8"/>
      <c r="U448" s="8"/>
      <c r="V448" s="8"/>
      <c r="W448" s="8"/>
      <c r="X448" s="8"/>
      <c r="Y448" s="8"/>
      <c r="Z448" s="8"/>
    </row>
    <row r="449">
      <c r="A449" s="8">
        <f>IFERROR(__xludf.DUMMYFUNCTION("""COMPUTED_VALUE"""),780.0)</f>
        <v>780</v>
      </c>
      <c r="B449" s="8" t="str">
        <f>IFERROR(__xludf.DUMMYFUNCTION("""COMPUTED_VALUE"""),"tree")</f>
        <v>tree</v>
      </c>
      <c r="C449" s="8" t="str">
        <f>IFERROR(__xludf.DUMMYFUNCTION("""COMPUTED_VALUE"""),"cutting, graft")</f>
        <v>cutting, graft</v>
      </c>
      <c r="D449" s="55" t="str">
        <f>IFERROR(__xludf.DUMMYFUNCTION("""COMPUTED_VALUE"""),"Morus sp.")</f>
        <v>Morus sp.</v>
      </c>
      <c r="E449" s="8" t="str">
        <f>IFERROR(__xludf.DUMMYFUNCTION("""COMPUTED_VALUE"""),"Rosie")</f>
        <v>Rosie</v>
      </c>
      <c r="F449" s="8" t="str">
        <f>IFERROR(__xludf.DUMMYFUNCTION("""COMPUTED_VALUE"""),"Mulberry")</f>
        <v>Mulberry</v>
      </c>
      <c r="G449" s="8" t="str">
        <f>IFERROR(__xludf.DUMMYFUNCTION("""COMPUTED_VALUE"""),"Mûre")</f>
        <v>Mûre</v>
      </c>
      <c r="H449" s="8" t="str">
        <f>IFERROR(__xludf.DUMMYFUNCTION("""COMPUTED_VALUE"""),"Mulberry")</f>
        <v>Mulberry</v>
      </c>
      <c r="I449" s="8" t="str">
        <f>IFERROR(__xludf.DUMMYFUNCTION("""COMPUTED_VALUE"""),"190")</f>
        <v>190</v>
      </c>
      <c r="J449" s="8"/>
      <c r="K449" s="8"/>
      <c r="L449" s="8" t="str">
        <f>IFERROR(__xludf.DUMMYFUNCTION("""COMPUTED_VALUE"""),"multiple")</f>
        <v>multiple</v>
      </c>
      <c r="M449" s="8">
        <f>IFERROR(__xludf.DUMMYFUNCTION("""COMPUTED_VALUE"""),0.0)</f>
        <v>0</v>
      </c>
      <c r="N449" s="8">
        <f>IFERROR(__xludf.DUMMYFUNCTION("""COMPUTED_VALUE"""),0.0)</f>
        <v>0</v>
      </c>
      <c r="O449" s="8"/>
      <c r="P449" s="8"/>
      <c r="Q449" s="8"/>
      <c r="R449" s="8"/>
      <c r="S449" s="8"/>
      <c r="T449" s="8"/>
      <c r="U449" s="8"/>
      <c r="V449" s="8"/>
      <c r="W449" s="8"/>
      <c r="X449" s="8"/>
      <c r="Y449" s="8"/>
      <c r="Z449" s="8"/>
    </row>
    <row r="450">
      <c r="A450" s="8">
        <f>IFERROR(__xludf.DUMMYFUNCTION("""COMPUTED_VALUE"""),781.0)</f>
        <v>781</v>
      </c>
      <c r="B450" s="8" t="str">
        <f>IFERROR(__xludf.DUMMYFUNCTION("""COMPUTED_VALUE"""),"tree")</f>
        <v>tree</v>
      </c>
      <c r="C450" s="8" t="str">
        <f>IFERROR(__xludf.DUMMYFUNCTION("""COMPUTED_VALUE"""),"graft")</f>
        <v>graft</v>
      </c>
      <c r="D450" s="55" t="str">
        <f>IFERROR(__xludf.DUMMYFUNCTION("""COMPUTED_VALUE"""),"Annona mucosa")</f>
        <v>Annona mucosa</v>
      </c>
      <c r="E450" s="8" t="str">
        <f>IFERROR(__xludf.DUMMYFUNCTION("""COMPUTED_VALUE"""),"Seedling")</f>
        <v>Seedling</v>
      </c>
      <c r="F450" s="8" t="str">
        <f>IFERROR(__xludf.DUMMYFUNCTION("""COMPUTED_VALUE"""),"Rollinia")</f>
        <v>Rollinia</v>
      </c>
      <c r="G450" s="8" t="str">
        <f>IFERROR(__xludf.DUMMYFUNCTION("""COMPUTED_VALUE"""),"Rollinia")</f>
        <v>Rollinia</v>
      </c>
      <c r="H450" s="8" t="str">
        <f>IFERROR(__xludf.DUMMYFUNCTION("""COMPUTED_VALUE"""),"Rollinia")</f>
        <v>Rollinia</v>
      </c>
      <c r="I450" s="8" t="str">
        <f>IFERROR(__xludf.DUMMYFUNCTION("""COMPUTED_VALUE"""),"124A")</f>
        <v>124A</v>
      </c>
      <c r="J450" s="8"/>
      <c r="K450" s="8"/>
      <c r="L450" s="8" t="str">
        <f>IFERROR(__xludf.DUMMYFUNCTION("""COMPUTED_VALUE"""),"multiple")</f>
        <v>multiple</v>
      </c>
      <c r="M450" s="8">
        <f>IFERROR(__xludf.DUMMYFUNCTION("""COMPUTED_VALUE"""),3.0)</f>
        <v>3</v>
      </c>
      <c r="N450" s="8">
        <f>IFERROR(__xludf.DUMMYFUNCTION("""COMPUTED_VALUE"""),3.0)</f>
        <v>3</v>
      </c>
      <c r="O450" s="8"/>
      <c r="P450" s="8"/>
      <c r="Q450" s="8"/>
      <c r="R450" s="8"/>
      <c r="S450" s="8"/>
      <c r="T450" s="8"/>
      <c r="U450" s="8"/>
      <c r="V450" s="8"/>
      <c r="W450" s="8"/>
      <c r="X450" s="8"/>
      <c r="Y450" s="8"/>
      <c r="Z450" s="8"/>
    </row>
    <row r="451">
      <c r="A451" s="8">
        <f>IFERROR(__xludf.DUMMYFUNCTION("""COMPUTED_VALUE"""),782.0)</f>
        <v>782</v>
      </c>
      <c r="B451" s="8" t="str">
        <f>IFERROR(__xludf.DUMMYFUNCTION("""COMPUTED_VALUE"""),"tree")</f>
        <v>tree</v>
      </c>
      <c r="C451" s="8" t="str">
        <f>IFERROR(__xludf.DUMMYFUNCTION("""COMPUTED_VALUE"""),"graft")</f>
        <v>graft</v>
      </c>
      <c r="D451" s="55" t="str">
        <f>IFERROR(__xludf.DUMMYFUNCTION("""COMPUTED_VALUE"""),"Artocarpus parvus")</f>
        <v>Artocarpus parvus</v>
      </c>
      <c r="E451" s="8" t="str">
        <f>IFERROR(__xludf.DUMMYFUNCTION("""COMPUTED_VALUE"""),"Seedling")</f>
        <v>Seedling</v>
      </c>
      <c r="F451" s="8" t="str">
        <f>IFERROR(__xludf.DUMMYFUNCTION("""COMPUTED_VALUE"""),"Kwai Muk")</f>
        <v>Kwai Muk</v>
      </c>
      <c r="G451" s="8" t="str">
        <f>IFERROR(__xludf.DUMMYFUNCTION("""COMPUTED_VALUE"""),"Kwaï Muk")</f>
        <v>Kwaï Muk</v>
      </c>
      <c r="H451" s="8" t="str">
        <f>IFERROR(__xludf.DUMMYFUNCTION("""COMPUTED_VALUE"""),"Kwai Muk")</f>
        <v>Kwai Muk</v>
      </c>
      <c r="I451" s="8" t="str">
        <f>IFERROR(__xludf.DUMMYFUNCTION("""COMPUTED_VALUE"""),"179")</f>
        <v>179</v>
      </c>
      <c r="J451" s="8"/>
      <c r="K451" s="8"/>
      <c r="L451" s="8" t="str">
        <f>IFERROR(__xludf.DUMMYFUNCTION("""COMPUTED_VALUE"""),"multiple")</f>
        <v>multiple</v>
      </c>
      <c r="M451" s="8">
        <f>IFERROR(__xludf.DUMMYFUNCTION("""COMPUTED_VALUE"""),1.0)</f>
        <v>1</v>
      </c>
      <c r="N451" s="8">
        <f>IFERROR(__xludf.DUMMYFUNCTION("""COMPUTED_VALUE"""),1.0)</f>
        <v>1</v>
      </c>
      <c r="O451" s="8"/>
      <c r="P451" s="8"/>
      <c r="Q451" s="8"/>
      <c r="R451" s="8"/>
      <c r="S451" s="8"/>
      <c r="T451" s="8"/>
      <c r="U451" s="8"/>
      <c r="V451" s="8"/>
      <c r="W451" s="8"/>
      <c r="X451" s="8"/>
      <c r="Y451" s="8"/>
      <c r="Z451" s="8"/>
    </row>
    <row r="452">
      <c r="A452" s="8">
        <f>IFERROR(__xludf.DUMMYFUNCTION("""COMPUTED_VALUE"""),783.0)</f>
        <v>783</v>
      </c>
      <c r="B452" s="8" t="str">
        <f>IFERROR(__xludf.DUMMYFUNCTION("""COMPUTED_VALUE"""),"perennial")</f>
        <v>perennial</v>
      </c>
      <c r="C452" s="8" t="str">
        <f>IFERROR(__xludf.DUMMYFUNCTION("""COMPUTED_VALUE"""),"cutting")</f>
        <v>cutting</v>
      </c>
      <c r="D452" s="55" t="str">
        <f>IFERROR(__xludf.DUMMYFUNCTION("""COMPUTED_VALUE"""),"Coleus caninus")</f>
        <v>Coleus caninus</v>
      </c>
      <c r="E452" s="8"/>
      <c r="F452" s="8" t="str">
        <f>IFERROR(__xludf.DUMMYFUNCTION("""COMPUTED_VALUE"""),"Tropical Oregano (Panadol)")</f>
        <v>Tropical Oregano (Panadol)</v>
      </c>
      <c r="G452" s="8" t="str">
        <f>IFERROR(__xludf.DUMMYFUNCTION("""COMPUTED_VALUE"""),"Origan tropical (Panadol)")</f>
        <v>Origan tropical (Panadol)</v>
      </c>
      <c r="H452" s="8" t="str">
        <f>IFERROR(__xludf.DUMMYFUNCTION("""COMPUTED_VALUE"""),"air_layer")</f>
        <v>air_layer</v>
      </c>
      <c r="I452" s="8"/>
      <c r="J452" s="8"/>
      <c r="K452" s="8">
        <f>IFERROR(__xludf.DUMMYFUNCTION("""COMPUTED_VALUE"""),9158.0)</f>
        <v>9158</v>
      </c>
      <c r="L452" s="8"/>
      <c r="M452" s="8"/>
      <c r="N452" s="8"/>
      <c r="O452" s="8"/>
      <c r="P452" s="8"/>
      <c r="Q452" s="8"/>
      <c r="R452" s="8"/>
      <c r="S452" s="8"/>
      <c r="T452" s="8"/>
      <c r="U452" s="8"/>
      <c r="V452" s="8"/>
      <c r="W452" s="8"/>
      <c r="X452" s="8"/>
      <c r="Y452" s="8"/>
      <c r="Z452" s="8"/>
    </row>
    <row r="453">
      <c r="A453" s="8">
        <f>IFERROR(__xludf.DUMMYFUNCTION("""COMPUTED_VALUE"""),784.0)</f>
        <v>784</v>
      </c>
      <c r="B453" s="8" t="str">
        <f>IFERROR(__xludf.DUMMYFUNCTION("""COMPUTED_VALUE"""),"perennial")</f>
        <v>perennial</v>
      </c>
      <c r="C453" s="8" t="str">
        <f>IFERROR(__xludf.DUMMYFUNCTION("""COMPUTED_VALUE"""),"cutting")</f>
        <v>cutting</v>
      </c>
      <c r="D453" s="55" t="str">
        <f>IFERROR(__xludf.DUMMYFUNCTION("""COMPUTED_VALUE"""),"Gynura bicolor")</f>
        <v>Gynura bicolor</v>
      </c>
      <c r="E453" s="8"/>
      <c r="F453" s="8" t="str">
        <f>IFERROR(__xludf.DUMMYFUNCTION("""COMPUTED_VALUE"""),"Okinawa Spinach")</f>
        <v>Okinawa Spinach</v>
      </c>
      <c r="G453" s="8" t="str">
        <f>IFERROR(__xludf.DUMMYFUNCTION("""COMPUTED_VALUE"""),"Épinards d'Okinawa")</f>
        <v>Épinards d'Okinawa</v>
      </c>
      <c r="H453" s="8" t="str">
        <f>IFERROR(__xludf.DUMMYFUNCTION("""COMPUTED_VALUE"""),"Okinawa Spinach")</f>
        <v>Okinawa Spinach</v>
      </c>
      <c r="I453" s="8"/>
      <c r="J453" s="8"/>
      <c r="K453" s="8">
        <f>IFERROR(__xludf.DUMMYFUNCTION("""COMPUTED_VALUE"""),9159.0)</f>
        <v>9159</v>
      </c>
      <c r="L453" s="8"/>
      <c r="M453" s="8"/>
      <c r="N453" s="8"/>
      <c r="O453" s="8"/>
      <c r="P453" s="8"/>
      <c r="Q453" s="8"/>
      <c r="R453" s="8"/>
      <c r="S453" s="8"/>
      <c r="T453" s="8"/>
      <c r="U453" s="8"/>
      <c r="V453" s="8"/>
      <c r="W453" s="8"/>
      <c r="X453" s="8"/>
      <c r="Y453" s="8"/>
      <c r="Z453" s="8"/>
    </row>
    <row r="454">
      <c r="A454" s="8">
        <f>IFERROR(__xludf.DUMMYFUNCTION("""COMPUTED_VALUE"""),785.0)</f>
        <v>785</v>
      </c>
      <c r="B454" s="8" t="str">
        <f>IFERROR(__xludf.DUMMYFUNCTION("""COMPUTED_VALUE"""),"perennial")</f>
        <v>perennial</v>
      </c>
      <c r="C454" s="8" t="str">
        <f>IFERROR(__xludf.DUMMYFUNCTION("""COMPUTED_VALUE"""),"cutting")</f>
        <v>cutting</v>
      </c>
      <c r="D454" s="55" t="str">
        <f>IFERROR(__xludf.DUMMYFUNCTION("""COMPUTED_VALUE"""),"Gynura bicolor")</f>
        <v>Gynura bicolor</v>
      </c>
      <c r="E454" s="8"/>
      <c r="F454" s="8" t="str">
        <f>IFERROR(__xludf.DUMMYFUNCTION("""COMPUTED_VALUE"""),"Okinawa Spinach")</f>
        <v>Okinawa Spinach</v>
      </c>
      <c r="G454" s="8" t="str">
        <f>IFERROR(__xludf.DUMMYFUNCTION("""COMPUTED_VALUE"""),"Épinards d'Okinawa")</f>
        <v>Épinards d'Okinawa</v>
      </c>
      <c r="H454" s="8" t="str">
        <f>IFERROR(__xludf.DUMMYFUNCTION("""COMPUTED_VALUE"""),"Okinawa Spinach")</f>
        <v>Okinawa Spinach</v>
      </c>
      <c r="I454" s="8"/>
      <c r="J454" s="8"/>
      <c r="K454" s="8">
        <f>IFERROR(__xludf.DUMMYFUNCTION("""COMPUTED_VALUE"""),9160.0)</f>
        <v>9160</v>
      </c>
      <c r="L454" s="8"/>
      <c r="M454" s="8"/>
      <c r="N454" s="8"/>
      <c r="O454" s="8"/>
      <c r="P454" s="8"/>
      <c r="Q454" s="8"/>
      <c r="R454" s="8"/>
      <c r="S454" s="8"/>
      <c r="T454" s="8"/>
      <c r="U454" s="8"/>
      <c r="V454" s="8"/>
      <c r="W454" s="8"/>
      <c r="X454" s="8"/>
      <c r="Y454" s="8"/>
      <c r="Z454" s="8"/>
    </row>
    <row r="455">
      <c r="A455" s="8">
        <f>IFERROR(__xludf.DUMMYFUNCTION("""COMPUTED_VALUE"""),786.0)</f>
        <v>786</v>
      </c>
      <c r="B455" s="8" t="str">
        <f>IFERROR(__xludf.DUMMYFUNCTION("""COMPUTED_VALUE"""),"perennial")</f>
        <v>perennial</v>
      </c>
      <c r="C455" s="8" t="str">
        <f>IFERROR(__xludf.DUMMYFUNCTION("""COMPUTED_VALUE"""),"cutting")</f>
        <v>cutting</v>
      </c>
      <c r="D455" s="55" t="str">
        <f>IFERROR(__xludf.DUMMYFUNCTION("""COMPUTED_VALUE"""),"Gynura bicolor")</f>
        <v>Gynura bicolor</v>
      </c>
      <c r="E455" s="8"/>
      <c r="F455" s="8" t="str">
        <f>IFERROR(__xludf.DUMMYFUNCTION("""COMPUTED_VALUE"""),"Okinawa Spinach")</f>
        <v>Okinawa Spinach</v>
      </c>
      <c r="G455" s="8" t="str">
        <f>IFERROR(__xludf.DUMMYFUNCTION("""COMPUTED_VALUE"""),"Épinards d'Okinawa")</f>
        <v>Épinards d'Okinawa</v>
      </c>
      <c r="H455" s="8" t="str">
        <f>IFERROR(__xludf.DUMMYFUNCTION("""COMPUTED_VALUE"""),"Okinawa Spinach")</f>
        <v>Okinawa Spinach</v>
      </c>
      <c r="I455" s="8"/>
      <c r="J455" s="8"/>
      <c r="K455" s="8">
        <f>IFERROR(__xludf.DUMMYFUNCTION("""COMPUTED_VALUE"""),9161.0)</f>
        <v>9161</v>
      </c>
      <c r="L455" s="8"/>
      <c r="M455" s="8"/>
      <c r="N455" s="8"/>
      <c r="O455" s="8"/>
      <c r="P455" s="8"/>
      <c r="Q455" s="8"/>
      <c r="R455" s="8"/>
      <c r="S455" s="8"/>
      <c r="T455" s="8"/>
      <c r="U455" s="8"/>
      <c r="V455" s="8"/>
      <c r="W455" s="8"/>
      <c r="X455" s="8"/>
      <c r="Y455" s="8"/>
      <c r="Z455" s="8"/>
    </row>
    <row r="456">
      <c r="A456" s="8">
        <f>IFERROR(__xludf.DUMMYFUNCTION("""COMPUTED_VALUE"""),787.0)</f>
        <v>787</v>
      </c>
      <c r="B456" s="8" t="str">
        <f>IFERROR(__xludf.DUMMYFUNCTION("""COMPUTED_VALUE"""),"plant_other")</f>
        <v>plant_other</v>
      </c>
      <c r="C456" s="8" t="str">
        <f>IFERROR(__xludf.DUMMYFUNCTION("""COMPUTED_VALUE"""),"rhizome")</f>
        <v>rhizome</v>
      </c>
      <c r="D456" s="55" t="str">
        <f>IFERROR(__xludf.DUMMYFUNCTION("""COMPUTED_VALUE"""),"Bambusa sp.")</f>
        <v>Bambusa sp.</v>
      </c>
      <c r="E456" s="8" t="str">
        <f>IFERROR(__xludf.DUMMYFUNCTION("""COMPUTED_VALUE"""),"Richard Waldron")</f>
        <v>Richard Waldron</v>
      </c>
      <c r="F456" s="8" t="str">
        <f>IFERROR(__xludf.DUMMYFUNCTION("""COMPUTED_VALUE"""),"Ladyfinger Bamboo")</f>
        <v>Ladyfinger Bamboo</v>
      </c>
      <c r="G456" s="8" t="str">
        <f>IFERROR(__xludf.DUMMYFUNCTION("""COMPUTED_VALUE"""),"Bambou Ladyfinger")</f>
        <v>Bambou Ladyfinger</v>
      </c>
      <c r="H456" s="8" t="str">
        <f>IFERROR(__xludf.DUMMYFUNCTION("""COMPUTED_VALUE"""),"Ladyfinger Bamboo")</f>
        <v>Ladyfinger Bamboo</v>
      </c>
      <c r="I456" s="8"/>
      <c r="J456" s="8"/>
      <c r="K456" s="8">
        <f>IFERROR(__xludf.DUMMYFUNCTION("""COMPUTED_VALUE"""),9078.0)</f>
        <v>9078</v>
      </c>
      <c r="L456" s="8"/>
      <c r="M456" s="8">
        <f>IFERROR(__xludf.DUMMYFUNCTION("""COMPUTED_VALUE"""),1.0)</f>
        <v>1</v>
      </c>
      <c r="N456" s="8">
        <f>IFERROR(__xludf.DUMMYFUNCTION("""COMPUTED_VALUE"""),2.0)</f>
        <v>2</v>
      </c>
      <c r="O456" s="8"/>
      <c r="P456" s="8"/>
      <c r="Q456" s="8"/>
      <c r="R456" s="8"/>
      <c r="S456" s="8"/>
      <c r="T456" s="8"/>
      <c r="U456" s="8"/>
      <c r="V456" s="8"/>
      <c r="W456" s="8"/>
      <c r="X456" s="8"/>
      <c r="Y456" s="8"/>
      <c r="Z456" s="8"/>
    </row>
    <row r="457">
      <c r="A457" s="8">
        <f>IFERROR(__xludf.DUMMYFUNCTION("""COMPUTED_VALUE"""),788.0)</f>
        <v>788</v>
      </c>
      <c r="B457" s="8" t="str">
        <f>IFERROR(__xludf.DUMMYFUNCTION("""COMPUTED_VALUE"""),"plant_other")</f>
        <v>plant_other</v>
      </c>
      <c r="C457" s="8" t="str">
        <f>IFERROR(__xludf.DUMMYFUNCTION("""COMPUTED_VALUE"""),"rhizome")</f>
        <v>rhizome</v>
      </c>
      <c r="D457" s="55" t="str">
        <f>IFERROR(__xludf.DUMMYFUNCTION("""COMPUTED_VALUE"""),"Bambusa sp.")</f>
        <v>Bambusa sp.</v>
      </c>
      <c r="E457" s="8" t="str">
        <f>IFERROR(__xludf.DUMMYFUNCTION("""COMPUTED_VALUE"""),"Richard Waldron")</f>
        <v>Richard Waldron</v>
      </c>
      <c r="F457" s="8" t="str">
        <f>IFERROR(__xludf.DUMMYFUNCTION("""COMPUTED_VALUE"""),"Ladyfinger Bamboo")</f>
        <v>Ladyfinger Bamboo</v>
      </c>
      <c r="G457" s="8" t="str">
        <f>IFERROR(__xludf.DUMMYFUNCTION("""COMPUTED_VALUE"""),"Bambou Ladyfinger")</f>
        <v>Bambou Ladyfinger</v>
      </c>
      <c r="H457" s="8" t="str">
        <f>IFERROR(__xludf.DUMMYFUNCTION("""COMPUTED_VALUE"""),"Ladyfinger Bamboo")</f>
        <v>Ladyfinger Bamboo</v>
      </c>
      <c r="I457" s="8" t="str">
        <f>IFERROR(__xludf.DUMMYFUNCTION("""COMPUTED_VALUE"""),"081A")</f>
        <v>081A</v>
      </c>
      <c r="J457" s="8"/>
      <c r="K457" s="8">
        <f>IFERROR(__xludf.DUMMYFUNCTION("""COMPUTED_VALUE"""),9079.0)</f>
        <v>9079</v>
      </c>
      <c r="L457" s="8"/>
      <c r="M457" s="8">
        <f>IFERROR(__xludf.DUMMYFUNCTION("""COMPUTED_VALUE"""),1.0)</f>
        <v>1</v>
      </c>
      <c r="N457" s="8">
        <f>IFERROR(__xludf.DUMMYFUNCTION("""COMPUTED_VALUE"""),2.0)</f>
        <v>2</v>
      </c>
      <c r="O457" s="8"/>
      <c r="P457" s="8"/>
      <c r="Q457" s="8"/>
      <c r="R457" s="8"/>
      <c r="S457" s="8"/>
      <c r="T457" s="8"/>
      <c r="U457" s="8"/>
      <c r="V457" s="8"/>
      <c r="W457" s="8"/>
      <c r="X457" s="8"/>
      <c r="Y457" s="8"/>
      <c r="Z457" s="8"/>
    </row>
    <row r="458">
      <c r="A458" s="8">
        <f>IFERROR(__xludf.DUMMYFUNCTION("""COMPUTED_VALUE"""),789.0)</f>
        <v>789</v>
      </c>
      <c r="B458" s="8" t="str">
        <f>IFERROR(__xludf.DUMMYFUNCTION("""COMPUTED_VALUE"""),"annual")</f>
        <v>annual</v>
      </c>
      <c r="C458" s="8" t="str">
        <f>IFERROR(__xludf.DUMMYFUNCTION("""COMPUTED_VALUE"""),"cutting, tuber")</f>
        <v>cutting, tuber</v>
      </c>
      <c r="D458" s="55" t="str">
        <f>IFERROR(__xludf.DUMMYFUNCTION("""COMPUTED_VALUE"""),"Ipomoea batatas")</f>
        <v>Ipomoea batatas</v>
      </c>
      <c r="E458" s="55" t="str">
        <f>IFERROR(__xludf.DUMMYFUNCTION("""COMPUTED_VALUE"""),"Colorette")</f>
        <v>Colorette</v>
      </c>
      <c r="F458" s="8" t="str">
        <f>IFERROR(__xludf.DUMMYFUNCTION("""COMPUTED_VALUE"""),"Sweet Potato")</f>
        <v>Sweet Potato</v>
      </c>
      <c r="G458" s="8" t="str">
        <f>IFERROR(__xludf.DUMMYFUNCTION("""COMPUTED_VALUE"""),"Patate douce")</f>
        <v>Patate douce</v>
      </c>
      <c r="H458" s="8" t="str">
        <f>IFERROR(__xludf.DUMMYFUNCTION("""COMPUTED_VALUE"""),"air_layer")</f>
        <v>air_layer</v>
      </c>
      <c r="I458" s="8"/>
      <c r="J458" s="8"/>
      <c r="K458" s="8">
        <f>IFERROR(__xludf.DUMMYFUNCTION("""COMPUTED_VALUE"""),9162.0)</f>
        <v>9162</v>
      </c>
      <c r="L458" s="8"/>
      <c r="M458" s="8">
        <f>IFERROR(__xludf.DUMMYFUNCTION("""COMPUTED_VALUE"""),0.0)</f>
        <v>0</v>
      </c>
      <c r="N458" s="8">
        <f>IFERROR(__xludf.DUMMYFUNCTION("""COMPUTED_VALUE"""),1.0)</f>
        <v>1</v>
      </c>
      <c r="O458" s="8"/>
      <c r="P458" s="8"/>
      <c r="Q458" s="8"/>
      <c r="R458" s="8"/>
      <c r="S458" s="8"/>
      <c r="T458" s="8"/>
      <c r="U458" s="8"/>
      <c r="V458" s="8"/>
      <c r="W458" s="8"/>
      <c r="X458" s="8"/>
      <c r="Y458" s="8"/>
      <c r="Z458" s="8"/>
    </row>
    <row r="459">
      <c r="A459" s="8">
        <f>IFERROR(__xludf.DUMMYFUNCTION("""COMPUTED_VALUE"""),790.0)</f>
        <v>790</v>
      </c>
      <c r="B459" s="8" t="str">
        <f>IFERROR(__xludf.DUMMYFUNCTION("""COMPUTED_VALUE"""),"annual")</f>
        <v>annual</v>
      </c>
      <c r="C459" s="8" t="str">
        <f>IFERROR(__xludf.DUMMYFUNCTION("""COMPUTED_VALUE"""),"cutting, tuber")</f>
        <v>cutting, tuber</v>
      </c>
      <c r="D459" s="55" t="str">
        <f>IFERROR(__xludf.DUMMYFUNCTION("""COMPUTED_VALUE"""),"Ipomoea batatas")</f>
        <v>Ipomoea batatas</v>
      </c>
      <c r="E459" s="55" t="str">
        <f>IFERROR(__xludf.DUMMYFUNCTION("""COMPUTED_VALUE"""),"Hernandez")</f>
        <v>Hernandez</v>
      </c>
      <c r="F459" s="8" t="str">
        <f>IFERROR(__xludf.DUMMYFUNCTION("""COMPUTED_VALUE"""),"Sweet Potato")</f>
        <v>Sweet Potato</v>
      </c>
      <c r="G459" s="8" t="str">
        <f>IFERROR(__xludf.DUMMYFUNCTION("""COMPUTED_VALUE"""),"Patate douce")</f>
        <v>Patate douce</v>
      </c>
      <c r="H459" s="8" t="str">
        <f>IFERROR(__xludf.DUMMYFUNCTION("""COMPUTED_VALUE"""),"cutting")</f>
        <v>cutting</v>
      </c>
      <c r="I459" s="8"/>
      <c r="J459" s="8"/>
      <c r="K459" s="8">
        <f>IFERROR(__xludf.DUMMYFUNCTION("""COMPUTED_VALUE"""),9163.0)</f>
        <v>9163</v>
      </c>
      <c r="L459" s="8"/>
      <c r="M459" s="8">
        <f>IFERROR(__xludf.DUMMYFUNCTION("""COMPUTED_VALUE"""),0.0)</f>
        <v>0</v>
      </c>
      <c r="N459" s="8">
        <f>IFERROR(__xludf.DUMMYFUNCTION("""COMPUTED_VALUE"""),1.0)</f>
        <v>1</v>
      </c>
      <c r="O459" s="8"/>
      <c r="P459" s="8"/>
      <c r="Q459" s="8"/>
      <c r="R459" s="8"/>
      <c r="S459" s="8"/>
      <c r="T459" s="8"/>
      <c r="U459" s="8"/>
      <c r="V459" s="8"/>
      <c r="W459" s="8"/>
      <c r="X459" s="8"/>
      <c r="Y459" s="8"/>
      <c r="Z459" s="8"/>
    </row>
    <row r="460">
      <c r="A460" s="8">
        <f>IFERROR(__xludf.DUMMYFUNCTION("""COMPUTED_VALUE"""),791.0)</f>
        <v>791</v>
      </c>
      <c r="B460" s="8" t="str">
        <f>IFERROR(__xludf.DUMMYFUNCTION("""COMPUTED_VALUE"""),"annual")</f>
        <v>annual</v>
      </c>
      <c r="C460" s="8" t="str">
        <f>IFERROR(__xludf.DUMMYFUNCTION("""COMPUTED_VALUE"""),"cutting, tuber")</f>
        <v>cutting, tuber</v>
      </c>
      <c r="D460" s="55" t="str">
        <f>IFERROR(__xludf.DUMMYFUNCTION("""COMPUTED_VALUE"""),"Ipomoea batatas")</f>
        <v>Ipomoea batatas</v>
      </c>
      <c r="E460" s="55" t="str">
        <f>IFERROR(__xludf.DUMMYFUNCTION("""COMPUTED_VALUE"""),"Hernandez")</f>
        <v>Hernandez</v>
      </c>
      <c r="F460" s="8" t="str">
        <f>IFERROR(__xludf.DUMMYFUNCTION("""COMPUTED_VALUE"""),"Sweet Potato")</f>
        <v>Sweet Potato</v>
      </c>
      <c r="G460" s="8" t="str">
        <f>IFERROR(__xludf.DUMMYFUNCTION("""COMPUTED_VALUE"""),"Patate douce")</f>
        <v>Patate douce</v>
      </c>
      <c r="H460" s="8" t="str">
        <f>IFERROR(__xludf.DUMMYFUNCTION("""COMPUTED_VALUE"""),"Sweet Potato")</f>
        <v>Sweet Potato</v>
      </c>
      <c r="I460" s="8"/>
      <c r="J460" s="8"/>
      <c r="K460" s="8">
        <f>IFERROR(__xludf.DUMMYFUNCTION("""COMPUTED_VALUE"""),9164.0)</f>
        <v>9164</v>
      </c>
      <c r="L460" s="8"/>
      <c r="M460" s="8">
        <f>IFERROR(__xludf.DUMMYFUNCTION("""COMPUTED_VALUE"""),0.0)</f>
        <v>0</v>
      </c>
      <c r="N460" s="8">
        <f>IFERROR(__xludf.DUMMYFUNCTION("""COMPUTED_VALUE"""),3.0)</f>
        <v>3</v>
      </c>
      <c r="O460" s="8"/>
      <c r="P460" s="8"/>
      <c r="Q460" s="8"/>
      <c r="R460" s="8"/>
      <c r="S460" s="8"/>
      <c r="T460" s="8"/>
      <c r="U460" s="8"/>
      <c r="V460" s="8"/>
      <c r="W460" s="8"/>
      <c r="X460" s="8"/>
      <c r="Y460" s="8"/>
      <c r="Z460" s="8"/>
    </row>
    <row r="461">
      <c r="A461" s="8">
        <f>IFERROR(__xludf.DUMMYFUNCTION("""COMPUTED_VALUE"""),792.0)</f>
        <v>792</v>
      </c>
      <c r="B461" s="8" t="str">
        <f>IFERROR(__xludf.DUMMYFUNCTION("""COMPUTED_VALUE"""),"annual")</f>
        <v>annual</v>
      </c>
      <c r="C461" s="8" t="str">
        <f>IFERROR(__xludf.DUMMYFUNCTION("""COMPUTED_VALUE"""),"cutting, tuber")</f>
        <v>cutting, tuber</v>
      </c>
      <c r="D461" s="55" t="str">
        <f>IFERROR(__xludf.DUMMYFUNCTION("""COMPUTED_VALUE"""),"Ipomoea batatas")</f>
        <v>Ipomoea batatas</v>
      </c>
      <c r="E461" s="55" t="str">
        <f>IFERROR(__xludf.DUMMYFUNCTION("""COMPUTED_VALUE"""),"Hernandez")</f>
        <v>Hernandez</v>
      </c>
      <c r="F461" s="8" t="str">
        <f>IFERROR(__xludf.DUMMYFUNCTION("""COMPUTED_VALUE"""),"Sweet Potato")</f>
        <v>Sweet Potato</v>
      </c>
      <c r="G461" s="8" t="str">
        <f>IFERROR(__xludf.DUMMYFUNCTION("""COMPUTED_VALUE"""),"Patate douce")</f>
        <v>Patate douce</v>
      </c>
      <c r="H461" s="8" t="str">
        <f>IFERROR(__xludf.DUMMYFUNCTION("""COMPUTED_VALUE"""),"seed")</f>
        <v>seed</v>
      </c>
      <c r="I461" s="8"/>
      <c r="J461" s="8"/>
      <c r="K461" s="8">
        <f>IFERROR(__xludf.DUMMYFUNCTION("""COMPUTED_VALUE"""),9216.0)</f>
        <v>9216</v>
      </c>
      <c r="L461" s="8"/>
      <c r="M461" s="8">
        <f>IFERROR(__xludf.DUMMYFUNCTION("""COMPUTED_VALUE"""),0.0)</f>
        <v>0</v>
      </c>
      <c r="N461" s="8">
        <f>IFERROR(__xludf.DUMMYFUNCTION("""COMPUTED_VALUE"""),3.0)</f>
        <v>3</v>
      </c>
      <c r="O461" s="8"/>
      <c r="P461" s="8"/>
      <c r="Q461" s="8"/>
      <c r="R461" s="8"/>
      <c r="S461" s="8"/>
      <c r="T461" s="8"/>
      <c r="U461" s="8"/>
      <c r="V461" s="8"/>
      <c r="W461" s="8"/>
      <c r="X461" s="8"/>
      <c r="Y461" s="8"/>
      <c r="Z461" s="8"/>
    </row>
    <row r="462">
      <c r="A462" s="8">
        <f>IFERROR(__xludf.DUMMYFUNCTION("""COMPUTED_VALUE"""),793.0)</f>
        <v>793</v>
      </c>
      <c r="B462" s="8" t="str">
        <f>IFERROR(__xludf.DUMMYFUNCTION("""COMPUTED_VALUE"""),"annual")</f>
        <v>annual</v>
      </c>
      <c r="C462" s="8" t="str">
        <f>IFERROR(__xludf.DUMMYFUNCTION("""COMPUTED_VALUE"""),"cutting, tuber")</f>
        <v>cutting, tuber</v>
      </c>
      <c r="D462" s="55" t="str">
        <f>IFERROR(__xludf.DUMMYFUNCTION("""COMPUTED_VALUE"""),"Ipomoea batatas")</f>
        <v>Ipomoea batatas</v>
      </c>
      <c r="E462" s="55" t="str">
        <f>IFERROR(__xludf.DUMMYFUNCTION("""COMPUTED_VALUE"""),"Hernandez")</f>
        <v>Hernandez</v>
      </c>
      <c r="F462" s="8" t="str">
        <f>IFERROR(__xludf.DUMMYFUNCTION("""COMPUTED_VALUE"""),"Sweet Potato")</f>
        <v>Sweet Potato</v>
      </c>
      <c r="G462" s="8" t="str">
        <f>IFERROR(__xludf.DUMMYFUNCTION("""COMPUTED_VALUE"""),"Patate douce")</f>
        <v>Patate douce</v>
      </c>
      <c r="H462" s="8" t="str">
        <f>IFERROR(__xludf.DUMMYFUNCTION("""COMPUTED_VALUE"""),"seed")</f>
        <v>seed</v>
      </c>
      <c r="I462" s="8"/>
      <c r="J462" s="8"/>
      <c r="K462" s="8">
        <f>IFERROR(__xludf.DUMMYFUNCTION("""COMPUTED_VALUE"""),9224.0)</f>
        <v>9224</v>
      </c>
      <c r="L462" s="8"/>
      <c r="M462" s="8">
        <f>IFERROR(__xludf.DUMMYFUNCTION("""COMPUTED_VALUE"""),0.0)</f>
        <v>0</v>
      </c>
      <c r="N462" s="8">
        <f>IFERROR(__xludf.DUMMYFUNCTION("""COMPUTED_VALUE"""),3.0)</f>
        <v>3</v>
      </c>
      <c r="O462" s="8"/>
      <c r="P462" s="8"/>
      <c r="Q462" s="8"/>
      <c r="R462" s="8"/>
      <c r="S462" s="8"/>
      <c r="T462" s="8"/>
      <c r="U462" s="8"/>
      <c r="V462" s="8"/>
      <c r="W462" s="8"/>
      <c r="X462" s="8"/>
      <c r="Y462" s="8"/>
      <c r="Z462" s="8"/>
    </row>
    <row r="463">
      <c r="A463" s="8">
        <f>IFERROR(__xludf.DUMMYFUNCTION("""COMPUTED_VALUE"""),794.0)</f>
        <v>794</v>
      </c>
      <c r="B463" s="8" t="str">
        <f>IFERROR(__xludf.DUMMYFUNCTION("""COMPUTED_VALUE"""),"annual")</f>
        <v>annual</v>
      </c>
      <c r="C463" s="8" t="str">
        <f>IFERROR(__xludf.DUMMYFUNCTION("""COMPUTED_VALUE"""),"cutting, tuber")</f>
        <v>cutting, tuber</v>
      </c>
      <c r="D463" s="55" t="str">
        <f>IFERROR(__xludf.DUMMYFUNCTION("""COMPUTED_VALUE"""),"Ipomoea batatas")</f>
        <v>Ipomoea batatas</v>
      </c>
      <c r="E463" s="8" t="str">
        <f>IFERROR(__xludf.DUMMYFUNCTION("""COMPUTED_VALUE"""),"Puerto Rico")</f>
        <v>Puerto Rico</v>
      </c>
      <c r="F463" s="8" t="str">
        <f>IFERROR(__xludf.DUMMYFUNCTION("""COMPUTED_VALUE"""),"Sweet Potato")</f>
        <v>Sweet Potato</v>
      </c>
      <c r="G463" s="8" t="str">
        <f>IFERROR(__xludf.DUMMYFUNCTION("""COMPUTED_VALUE"""),"Patate douce")</f>
        <v>Patate douce</v>
      </c>
      <c r="H463" s="8" t="str">
        <f>IFERROR(__xludf.DUMMYFUNCTION("""COMPUTED_VALUE"""),"Sweet Potato")</f>
        <v>Sweet Potato</v>
      </c>
      <c r="I463" s="8"/>
      <c r="J463" s="8"/>
      <c r="K463" s="8">
        <f>IFERROR(__xludf.DUMMYFUNCTION("""COMPUTED_VALUE"""),9165.0)</f>
        <v>9165</v>
      </c>
      <c r="L463" s="8"/>
      <c r="M463" s="8">
        <f>IFERROR(__xludf.DUMMYFUNCTION("""COMPUTED_VALUE"""),0.0)</f>
        <v>0</v>
      </c>
      <c r="N463" s="8">
        <f>IFERROR(__xludf.DUMMYFUNCTION("""COMPUTED_VALUE"""),3.0)</f>
        <v>3</v>
      </c>
      <c r="O463" s="8"/>
      <c r="P463" s="8"/>
      <c r="Q463" s="8"/>
      <c r="R463" s="8"/>
      <c r="S463" s="8"/>
      <c r="T463" s="8"/>
      <c r="U463" s="8"/>
      <c r="V463" s="8"/>
      <c r="W463" s="8"/>
      <c r="X463" s="8"/>
      <c r="Y463" s="8"/>
      <c r="Z463" s="8"/>
    </row>
    <row r="464">
      <c r="A464" s="8">
        <f>IFERROR(__xludf.DUMMYFUNCTION("""COMPUTED_VALUE"""),795.0)</f>
        <v>795</v>
      </c>
      <c r="B464" s="8" t="str">
        <f>IFERROR(__xludf.DUMMYFUNCTION("""COMPUTED_VALUE"""),"annual")</f>
        <v>annual</v>
      </c>
      <c r="C464" s="8" t="str">
        <f>IFERROR(__xludf.DUMMYFUNCTION("""COMPUTED_VALUE"""),"cutting, tuber")</f>
        <v>cutting, tuber</v>
      </c>
      <c r="D464" s="55" t="str">
        <f>IFERROR(__xludf.DUMMYFUNCTION("""COMPUTED_VALUE"""),"Ipomoea batatas")</f>
        <v>Ipomoea batatas</v>
      </c>
      <c r="E464" s="8" t="str">
        <f>IFERROR(__xludf.DUMMYFUNCTION("""COMPUTED_VALUE"""),"Puerto Rico")</f>
        <v>Puerto Rico</v>
      </c>
      <c r="F464" s="8" t="str">
        <f>IFERROR(__xludf.DUMMYFUNCTION("""COMPUTED_VALUE"""),"Sweet Potato")</f>
        <v>Sweet Potato</v>
      </c>
      <c r="G464" s="8" t="str">
        <f>IFERROR(__xludf.DUMMYFUNCTION("""COMPUTED_VALUE"""),"Patate douce")</f>
        <v>Patate douce</v>
      </c>
      <c r="H464" s="8" t="str">
        <f>IFERROR(__xludf.DUMMYFUNCTION("""COMPUTED_VALUE"""),"Sweet Potato")</f>
        <v>Sweet Potato</v>
      </c>
      <c r="I464" s="8"/>
      <c r="J464" s="8"/>
      <c r="K464" s="8">
        <f>IFERROR(__xludf.DUMMYFUNCTION("""COMPUTED_VALUE"""),9166.0)</f>
        <v>9166</v>
      </c>
      <c r="L464" s="8"/>
      <c r="M464" s="8">
        <f>IFERROR(__xludf.DUMMYFUNCTION("""COMPUTED_VALUE"""),0.0)</f>
        <v>0</v>
      </c>
      <c r="N464" s="8">
        <f>IFERROR(__xludf.DUMMYFUNCTION("""COMPUTED_VALUE"""),3.0)</f>
        <v>3</v>
      </c>
      <c r="O464" s="8"/>
      <c r="P464" s="8"/>
      <c r="Q464" s="8"/>
      <c r="R464" s="8"/>
      <c r="S464" s="8"/>
      <c r="T464" s="8"/>
      <c r="U464" s="8"/>
      <c r="V464" s="8"/>
      <c r="W464" s="8"/>
      <c r="X464" s="8"/>
      <c r="Y464" s="8"/>
      <c r="Z464" s="8"/>
    </row>
    <row r="465">
      <c r="A465" s="8">
        <f>IFERROR(__xludf.DUMMYFUNCTION("""COMPUTED_VALUE"""),796.0)</f>
        <v>796</v>
      </c>
      <c r="B465" s="8" t="str">
        <f>IFERROR(__xludf.DUMMYFUNCTION("""COMPUTED_VALUE"""),"annual")</f>
        <v>annual</v>
      </c>
      <c r="C465" s="8" t="str">
        <f>IFERROR(__xludf.DUMMYFUNCTION("""COMPUTED_VALUE"""),"cutting, tuber")</f>
        <v>cutting, tuber</v>
      </c>
      <c r="D465" s="55" t="str">
        <f>IFERROR(__xludf.DUMMYFUNCTION("""COMPUTED_VALUE"""),"Ipomoea batatas")</f>
        <v>Ipomoea batatas</v>
      </c>
      <c r="E465" s="8" t="str">
        <f>IFERROR(__xludf.DUMMYFUNCTION("""COMPUTED_VALUE"""),"Puerto Rico")</f>
        <v>Puerto Rico</v>
      </c>
      <c r="F465" s="8" t="str">
        <f>IFERROR(__xludf.DUMMYFUNCTION("""COMPUTED_VALUE"""),"Sweet Potato")</f>
        <v>Sweet Potato</v>
      </c>
      <c r="G465" s="8" t="str">
        <f>IFERROR(__xludf.DUMMYFUNCTION("""COMPUTED_VALUE"""),"Patate douce")</f>
        <v>Patate douce</v>
      </c>
      <c r="H465" s="8" t="str">
        <f>IFERROR(__xludf.DUMMYFUNCTION("""COMPUTED_VALUE"""),"seed")</f>
        <v>seed</v>
      </c>
      <c r="I465" s="8"/>
      <c r="J465" s="8"/>
      <c r="K465" s="8">
        <f>IFERROR(__xludf.DUMMYFUNCTION("""COMPUTED_VALUE"""),9217.0)</f>
        <v>9217</v>
      </c>
      <c r="L465" s="8"/>
      <c r="M465" s="8">
        <f>IFERROR(__xludf.DUMMYFUNCTION("""COMPUTED_VALUE"""),0.0)</f>
        <v>0</v>
      </c>
      <c r="N465" s="8">
        <f>IFERROR(__xludf.DUMMYFUNCTION("""COMPUTED_VALUE"""),3.0)</f>
        <v>3</v>
      </c>
      <c r="O465" s="8"/>
      <c r="P465" s="8"/>
      <c r="Q465" s="8"/>
      <c r="R465" s="8"/>
      <c r="S465" s="8"/>
      <c r="T465" s="8"/>
      <c r="U465" s="8"/>
      <c r="V465" s="8"/>
      <c r="W465" s="8"/>
      <c r="X465" s="8"/>
      <c r="Y465" s="8"/>
      <c r="Z465" s="8"/>
    </row>
    <row r="466">
      <c r="A466" s="8">
        <f>IFERROR(__xludf.DUMMYFUNCTION("""COMPUTED_VALUE"""),797.0)</f>
        <v>797</v>
      </c>
      <c r="B466" s="8" t="str">
        <f>IFERROR(__xludf.DUMMYFUNCTION("""COMPUTED_VALUE"""),"annual")</f>
        <v>annual</v>
      </c>
      <c r="C466" s="8" t="str">
        <f>IFERROR(__xludf.DUMMYFUNCTION("""COMPUTED_VALUE"""),"cutting, tuber")</f>
        <v>cutting, tuber</v>
      </c>
      <c r="D466" s="55" t="str">
        <f>IFERROR(__xludf.DUMMYFUNCTION("""COMPUTED_VALUE"""),"Ipomoea batatas")</f>
        <v>Ipomoea batatas</v>
      </c>
      <c r="E466" s="8" t="str">
        <f>IFERROR(__xludf.DUMMYFUNCTION("""COMPUTED_VALUE"""),"Puerto Rico")</f>
        <v>Puerto Rico</v>
      </c>
      <c r="F466" s="8" t="str">
        <f>IFERROR(__xludf.DUMMYFUNCTION("""COMPUTED_VALUE"""),"Sweet Potato")</f>
        <v>Sweet Potato</v>
      </c>
      <c r="G466" s="8" t="str">
        <f>IFERROR(__xludf.DUMMYFUNCTION("""COMPUTED_VALUE"""),"Patate douce")</f>
        <v>Patate douce</v>
      </c>
      <c r="H466" s="8" t="str">
        <f>IFERROR(__xludf.DUMMYFUNCTION("""COMPUTED_VALUE"""),"seed")</f>
        <v>seed</v>
      </c>
      <c r="I466" s="8"/>
      <c r="J466" s="8"/>
      <c r="K466" s="8">
        <f>IFERROR(__xludf.DUMMYFUNCTION("""COMPUTED_VALUE"""),9225.0)</f>
        <v>9225</v>
      </c>
      <c r="L466" s="8"/>
      <c r="M466" s="8">
        <f>IFERROR(__xludf.DUMMYFUNCTION("""COMPUTED_VALUE"""),0.0)</f>
        <v>0</v>
      </c>
      <c r="N466" s="8">
        <f>IFERROR(__xludf.DUMMYFUNCTION("""COMPUTED_VALUE"""),3.0)</f>
        <v>3</v>
      </c>
      <c r="O466" s="8"/>
      <c r="P466" s="8"/>
      <c r="Q466" s="8"/>
      <c r="R466" s="8"/>
      <c r="S466" s="8"/>
      <c r="T466" s="8"/>
      <c r="U466" s="8"/>
      <c r="V466" s="8"/>
      <c r="W466" s="8"/>
      <c r="X466" s="8"/>
      <c r="Y466" s="8"/>
      <c r="Z466" s="8"/>
    </row>
    <row r="467">
      <c r="A467" s="8">
        <f>IFERROR(__xludf.DUMMYFUNCTION("""COMPUTED_VALUE"""),798.0)</f>
        <v>798</v>
      </c>
      <c r="B467" s="8" t="str">
        <f>IFERROR(__xludf.DUMMYFUNCTION("""COMPUTED_VALUE"""),"annual")</f>
        <v>annual</v>
      </c>
      <c r="C467" s="8" t="str">
        <f>IFERROR(__xludf.DUMMYFUNCTION("""COMPUTED_VALUE"""),"cutting, tuber")</f>
        <v>cutting, tuber</v>
      </c>
      <c r="D467" s="55" t="str">
        <f>IFERROR(__xludf.DUMMYFUNCTION("""COMPUTED_VALUE"""),"Ipomoea batatas")</f>
        <v>Ipomoea batatas</v>
      </c>
      <c r="E467" s="8" t="str">
        <f>IFERROR(__xludf.DUMMYFUNCTION("""COMPUTED_VALUE"""),"Tainung #64")</f>
        <v>Tainung #64</v>
      </c>
      <c r="F467" s="8" t="str">
        <f>IFERROR(__xludf.DUMMYFUNCTION("""COMPUTED_VALUE"""),"Sweet Potato")</f>
        <v>Sweet Potato</v>
      </c>
      <c r="G467" s="8" t="str">
        <f>IFERROR(__xludf.DUMMYFUNCTION("""COMPUTED_VALUE"""),"Patate douce")</f>
        <v>Patate douce</v>
      </c>
      <c r="H467" s="8" t="str">
        <f>IFERROR(__xludf.DUMMYFUNCTION("""COMPUTED_VALUE"""),"Sweet Potato")</f>
        <v>Sweet Potato</v>
      </c>
      <c r="I467" s="8"/>
      <c r="J467" s="8"/>
      <c r="K467" s="8">
        <f>IFERROR(__xludf.DUMMYFUNCTION("""COMPUTED_VALUE"""),9167.0)</f>
        <v>9167</v>
      </c>
      <c r="L467" s="8"/>
      <c r="M467" s="8">
        <f>IFERROR(__xludf.DUMMYFUNCTION("""COMPUTED_VALUE"""),0.0)</f>
        <v>0</v>
      </c>
      <c r="N467" s="8">
        <f>IFERROR(__xludf.DUMMYFUNCTION("""COMPUTED_VALUE"""),4.0)</f>
        <v>4</v>
      </c>
      <c r="O467" s="8"/>
      <c r="P467" s="8"/>
      <c r="Q467" s="8"/>
      <c r="R467" s="8"/>
      <c r="S467" s="8"/>
      <c r="T467" s="8"/>
      <c r="U467" s="8"/>
      <c r="V467" s="8"/>
      <c r="W467" s="8"/>
      <c r="X467" s="8"/>
      <c r="Y467" s="8"/>
      <c r="Z467" s="8"/>
    </row>
    <row r="468">
      <c r="A468" s="8">
        <f>IFERROR(__xludf.DUMMYFUNCTION("""COMPUTED_VALUE"""),799.0)</f>
        <v>799</v>
      </c>
      <c r="B468" s="8" t="str">
        <f>IFERROR(__xludf.DUMMYFUNCTION("""COMPUTED_VALUE"""),"annual")</f>
        <v>annual</v>
      </c>
      <c r="C468" s="8" t="str">
        <f>IFERROR(__xludf.DUMMYFUNCTION("""COMPUTED_VALUE"""),"cutting, tuber")</f>
        <v>cutting, tuber</v>
      </c>
      <c r="D468" s="55" t="str">
        <f>IFERROR(__xludf.DUMMYFUNCTION("""COMPUTED_VALUE"""),"Ipomoea batatas")</f>
        <v>Ipomoea batatas</v>
      </c>
      <c r="E468" s="8" t="str">
        <f>IFERROR(__xludf.DUMMYFUNCTION("""COMPUTED_VALUE"""),"Tainung #64")</f>
        <v>Tainung #64</v>
      </c>
      <c r="F468" s="8" t="str">
        <f>IFERROR(__xludf.DUMMYFUNCTION("""COMPUTED_VALUE"""),"Sweet Potato")</f>
        <v>Sweet Potato</v>
      </c>
      <c r="G468" s="8" t="str">
        <f>IFERROR(__xludf.DUMMYFUNCTION("""COMPUTED_VALUE"""),"Patate douce")</f>
        <v>Patate douce</v>
      </c>
      <c r="H468" s="8" t="str">
        <f>IFERROR(__xludf.DUMMYFUNCTION("""COMPUTED_VALUE"""),"Sweet Potato")</f>
        <v>Sweet Potato</v>
      </c>
      <c r="I468" s="8"/>
      <c r="J468" s="8"/>
      <c r="K468" s="8">
        <f>IFERROR(__xludf.DUMMYFUNCTION("""COMPUTED_VALUE"""),9168.0)</f>
        <v>9168</v>
      </c>
      <c r="L468" s="8"/>
      <c r="M468" s="8">
        <f>IFERROR(__xludf.DUMMYFUNCTION("""COMPUTED_VALUE"""),0.0)</f>
        <v>0</v>
      </c>
      <c r="N468" s="8">
        <f>IFERROR(__xludf.DUMMYFUNCTION("""COMPUTED_VALUE"""),4.0)</f>
        <v>4</v>
      </c>
      <c r="O468" s="8"/>
      <c r="P468" s="8"/>
      <c r="Q468" s="8"/>
      <c r="R468" s="8"/>
      <c r="S468" s="8"/>
      <c r="T468" s="8"/>
      <c r="U468" s="8"/>
      <c r="V468" s="8"/>
      <c r="W468" s="8"/>
      <c r="X468" s="8"/>
      <c r="Y468" s="8"/>
      <c r="Z468" s="8"/>
    </row>
    <row r="469">
      <c r="A469" s="8">
        <f>IFERROR(__xludf.DUMMYFUNCTION("""COMPUTED_VALUE"""),800.0)</f>
        <v>800</v>
      </c>
      <c r="B469" s="8" t="str">
        <f>IFERROR(__xludf.DUMMYFUNCTION("""COMPUTED_VALUE"""),"annual")</f>
        <v>annual</v>
      </c>
      <c r="C469" s="8" t="str">
        <f>IFERROR(__xludf.DUMMYFUNCTION("""COMPUTED_VALUE"""),"cutting, tuber")</f>
        <v>cutting, tuber</v>
      </c>
      <c r="D469" s="55" t="str">
        <f>IFERROR(__xludf.DUMMYFUNCTION("""COMPUTED_VALUE"""),"Ipomoea batatas")</f>
        <v>Ipomoea batatas</v>
      </c>
      <c r="E469" s="8" t="str">
        <f>IFERROR(__xludf.DUMMYFUNCTION("""COMPUTED_VALUE"""),"Tainung #64")</f>
        <v>Tainung #64</v>
      </c>
      <c r="F469" s="8" t="str">
        <f>IFERROR(__xludf.DUMMYFUNCTION("""COMPUTED_VALUE"""),"Sweet Potato")</f>
        <v>Sweet Potato</v>
      </c>
      <c r="G469" s="8" t="str">
        <f>IFERROR(__xludf.DUMMYFUNCTION("""COMPUTED_VALUE"""),"Patate douce")</f>
        <v>Patate douce</v>
      </c>
      <c r="H469" s="8" t="str">
        <f>IFERROR(__xludf.DUMMYFUNCTION("""COMPUTED_VALUE"""),"seed")</f>
        <v>seed</v>
      </c>
      <c r="I469" s="8"/>
      <c r="J469" s="8"/>
      <c r="K469" s="8">
        <f>IFERROR(__xludf.DUMMYFUNCTION("""COMPUTED_VALUE"""),9218.0)</f>
        <v>9218</v>
      </c>
      <c r="L469" s="8"/>
      <c r="M469" s="8">
        <f>IFERROR(__xludf.DUMMYFUNCTION("""COMPUTED_VALUE"""),0.0)</f>
        <v>0</v>
      </c>
      <c r="N469" s="8">
        <f>IFERROR(__xludf.DUMMYFUNCTION("""COMPUTED_VALUE"""),4.0)</f>
        <v>4</v>
      </c>
      <c r="O469" s="8"/>
      <c r="P469" s="8"/>
      <c r="Q469" s="8"/>
      <c r="R469" s="8"/>
      <c r="S469" s="8"/>
      <c r="T469" s="8"/>
      <c r="U469" s="8"/>
      <c r="V469" s="8"/>
      <c r="W469" s="8"/>
      <c r="X469" s="8"/>
      <c r="Y469" s="8"/>
      <c r="Z469" s="8"/>
    </row>
    <row r="470">
      <c r="A470" s="8">
        <f>IFERROR(__xludf.DUMMYFUNCTION("""COMPUTED_VALUE"""),801.0)</f>
        <v>801</v>
      </c>
      <c r="B470" s="8" t="str">
        <f>IFERROR(__xludf.DUMMYFUNCTION("""COMPUTED_VALUE"""),"annual")</f>
        <v>annual</v>
      </c>
      <c r="C470" s="8" t="str">
        <f>IFERROR(__xludf.DUMMYFUNCTION("""COMPUTED_VALUE"""),"cutting, tuber")</f>
        <v>cutting, tuber</v>
      </c>
      <c r="D470" s="55" t="str">
        <f>IFERROR(__xludf.DUMMYFUNCTION("""COMPUTED_VALUE"""),"Ipomoea batatas")</f>
        <v>Ipomoea batatas</v>
      </c>
      <c r="E470" s="8" t="str">
        <f>IFERROR(__xludf.DUMMYFUNCTION("""COMPUTED_VALUE"""),"Tainung #64")</f>
        <v>Tainung #64</v>
      </c>
      <c r="F470" s="8" t="str">
        <f>IFERROR(__xludf.DUMMYFUNCTION("""COMPUTED_VALUE"""),"Sweet Potato")</f>
        <v>Sweet Potato</v>
      </c>
      <c r="G470" s="8" t="str">
        <f>IFERROR(__xludf.DUMMYFUNCTION("""COMPUTED_VALUE"""),"Patate douce")</f>
        <v>Patate douce</v>
      </c>
      <c r="H470" s="8" t="str">
        <f>IFERROR(__xludf.DUMMYFUNCTION("""COMPUTED_VALUE"""),"seed")</f>
        <v>seed</v>
      </c>
      <c r="I470" s="8"/>
      <c r="J470" s="8"/>
      <c r="K470" s="8">
        <f>IFERROR(__xludf.DUMMYFUNCTION("""COMPUTED_VALUE"""),9226.0)</f>
        <v>9226</v>
      </c>
      <c r="L470" s="8"/>
      <c r="M470" s="8">
        <f>IFERROR(__xludf.DUMMYFUNCTION("""COMPUTED_VALUE"""),0.0)</f>
        <v>0</v>
      </c>
      <c r="N470" s="8">
        <f>IFERROR(__xludf.DUMMYFUNCTION("""COMPUTED_VALUE"""),4.0)</f>
        <v>4</v>
      </c>
      <c r="O470" s="8"/>
      <c r="P470" s="8"/>
      <c r="Q470" s="8"/>
      <c r="R470" s="8"/>
      <c r="S470" s="8"/>
      <c r="T470" s="8"/>
      <c r="U470" s="8"/>
      <c r="V470" s="8"/>
      <c r="W470" s="8"/>
      <c r="X470" s="8"/>
      <c r="Y470" s="8"/>
      <c r="Z470" s="8"/>
    </row>
    <row r="471">
      <c r="A471" s="8">
        <f>IFERROR(__xludf.DUMMYFUNCTION("""COMPUTED_VALUE"""),802.0)</f>
        <v>802</v>
      </c>
      <c r="B471" s="8" t="str">
        <f>IFERROR(__xludf.DUMMYFUNCTION("""COMPUTED_VALUE"""),"annual")</f>
        <v>annual</v>
      </c>
      <c r="C471" s="8" t="str">
        <f>IFERROR(__xludf.DUMMYFUNCTION("""COMPUTED_VALUE"""),"cutting, tuber")</f>
        <v>cutting, tuber</v>
      </c>
      <c r="D471" s="55" t="str">
        <f>IFERROR(__xludf.DUMMYFUNCTION("""COMPUTED_VALUE"""),"Ipomoea batatas")</f>
        <v>Ipomoea batatas</v>
      </c>
      <c r="E471" s="8" t="str">
        <f>IFERROR(__xludf.DUMMYFUNCTION("""COMPUTED_VALUE"""),"Tainung #64")</f>
        <v>Tainung #64</v>
      </c>
      <c r="F471" s="8" t="str">
        <f>IFERROR(__xludf.DUMMYFUNCTION("""COMPUTED_VALUE"""),"Sweet Potato")</f>
        <v>Sweet Potato</v>
      </c>
      <c r="G471" s="8" t="str">
        <f>IFERROR(__xludf.DUMMYFUNCTION("""COMPUTED_VALUE"""),"Patate douce")</f>
        <v>Patate douce</v>
      </c>
      <c r="H471" s="8" t="str">
        <f>IFERROR(__xludf.DUMMYFUNCTION("""COMPUTED_VALUE"""),"seed")</f>
        <v>seed</v>
      </c>
      <c r="I471" s="8"/>
      <c r="J471" s="8"/>
      <c r="K471" s="8">
        <f>IFERROR(__xludf.DUMMYFUNCTION("""COMPUTED_VALUE"""),9228.0)</f>
        <v>9228</v>
      </c>
      <c r="L471" s="8"/>
      <c r="M471" s="8">
        <f>IFERROR(__xludf.DUMMYFUNCTION("""COMPUTED_VALUE"""),0.0)</f>
        <v>0</v>
      </c>
      <c r="N471" s="8">
        <f>IFERROR(__xludf.DUMMYFUNCTION("""COMPUTED_VALUE"""),4.0)</f>
        <v>4</v>
      </c>
      <c r="O471" s="8"/>
      <c r="P471" s="8"/>
      <c r="Q471" s="8"/>
      <c r="R471" s="8"/>
      <c r="S471" s="8"/>
      <c r="T471" s="8"/>
      <c r="U471" s="8"/>
      <c r="V471" s="8"/>
      <c r="W471" s="8"/>
      <c r="X471" s="8"/>
      <c r="Y471" s="8"/>
      <c r="Z471" s="8"/>
    </row>
    <row r="472">
      <c r="A472" s="8">
        <f>IFERROR(__xludf.DUMMYFUNCTION("""COMPUTED_VALUE"""),803.0)</f>
        <v>803</v>
      </c>
      <c r="B472" s="8" t="str">
        <f>IFERROR(__xludf.DUMMYFUNCTION("""COMPUTED_VALUE"""),"annual")</f>
        <v>annual</v>
      </c>
      <c r="C472" s="8" t="str">
        <f>IFERROR(__xludf.DUMMYFUNCTION("""COMPUTED_VALUE"""),"cutting, tuber")</f>
        <v>cutting, tuber</v>
      </c>
      <c r="D472" s="55" t="str">
        <f>IFERROR(__xludf.DUMMYFUNCTION("""COMPUTED_VALUE"""),"Ipomoea batatas")</f>
        <v>Ipomoea batatas</v>
      </c>
      <c r="E472" s="55" t="str">
        <f>IFERROR(__xludf.DUMMYFUNCTION("""COMPUTED_VALUE"""),"Topaz")</f>
        <v>Topaz</v>
      </c>
      <c r="F472" s="8" t="str">
        <f>IFERROR(__xludf.DUMMYFUNCTION("""COMPUTED_VALUE"""),"Sweet Potato")</f>
        <v>Sweet Potato</v>
      </c>
      <c r="G472" s="8" t="str">
        <f>IFERROR(__xludf.DUMMYFUNCTION("""COMPUTED_VALUE"""),"Patate douce")</f>
        <v>Patate douce</v>
      </c>
      <c r="H472" s="8" t="str">
        <f>IFERROR(__xludf.DUMMYFUNCTION("""COMPUTED_VALUE"""),"Sweet Potato")</f>
        <v>Sweet Potato</v>
      </c>
      <c r="I472" s="8"/>
      <c r="J472" s="8"/>
      <c r="K472" s="8">
        <f>IFERROR(__xludf.DUMMYFUNCTION("""COMPUTED_VALUE"""),9169.0)</f>
        <v>9169</v>
      </c>
      <c r="L472" s="8"/>
      <c r="M472" s="8">
        <f>IFERROR(__xludf.DUMMYFUNCTION("""COMPUTED_VALUE"""),0.0)</f>
        <v>0</v>
      </c>
      <c r="N472" s="8">
        <f>IFERROR(__xludf.DUMMYFUNCTION("""COMPUTED_VALUE"""),3.0)</f>
        <v>3</v>
      </c>
      <c r="O472" s="8"/>
      <c r="P472" s="8"/>
      <c r="Q472" s="8"/>
      <c r="R472" s="8"/>
      <c r="S472" s="8"/>
      <c r="T472" s="8"/>
      <c r="U472" s="8"/>
      <c r="V472" s="8"/>
      <c r="W472" s="8"/>
      <c r="X472" s="8"/>
      <c r="Y472" s="8"/>
      <c r="Z472" s="8"/>
    </row>
    <row r="473">
      <c r="A473" s="8">
        <f>IFERROR(__xludf.DUMMYFUNCTION("""COMPUTED_VALUE"""),804.0)</f>
        <v>804</v>
      </c>
      <c r="B473" s="8" t="str">
        <f>IFERROR(__xludf.DUMMYFUNCTION("""COMPUTED_VALUE"""),"annual")</f>
        <v>annual</v>
      </c>
      <c r="C473" s="8" t="str">
        <f>IFERROR(__xludf.DUMMYFUNCTION("""COMPUTED_VALUE"""),"cutting, tuber")</f>
        <v>cutting, tuber</v>
      </c>
      <c r="D473" s="55" t="str">
        <f>IFERROR(__xludf.DUMMYFUNCTION("""COMPUTED_VALUE"""),"Ipomoea batatas")</f>
        <v>Ipomoea batatas</v>
      </c>
      <c r="E473" s="55" t="str">
        <f>IFERROR(__xludf.DUMMYFUNCTION("""COMPUTED_VALUE"""),"Topaz")</f>
        <v>Topaz</v>
      </c>
      <c r="F473" s="8" t="str">
        <f>IFERROR(__xludf.DUMMYFUNCTION("""COMPUTED_VALUE"""),"Sweet Potato")</f>
        <v>Sweet Potato</v>
      </c>
      <c r="G473" s="8" t="str">
        <f>IFERROR(__xludf.DUMMYFUNCTION("""COMPUTED_VALUE"""),"Patate douce")</f>
        <v>Patate douce</v>
      </c>
      <c r="H473" s="8" t="str">
        <f>IFERROR(__xludf.DUMMYFUNCTION("""COMPUTED_VALUE"""),"Sweet Potato")</f>
        <v>Sweet Potato</v>
      </c>
      <c r="I473" s="8"/>
      <c r="J473" s="8"/>
      <c r="K473" s="8">
        <f>IFERROR(__xludf.DUMMYFUNCTION("""COMPUTED_VALUE"""),9170.0)</f>
        <v>9170</v>
      </c>
      <c r="L473" s="8"/>
      <c r="M473" s="8">
        <f>IFERROR(__xludf.DUMMYFUNCTION("""COMPUTED_VALUE"""),0.0)</f>
        <v>0</v>
      </c>
      <c r="N473" s="8">
        <f>IFERROR(__xludf.DUMMYFUNCTION("""COMPUTED_VALUE"""),3.0)</f>
        <v>3</v>
      </c>
      <c r="O473" s="8"/>
      <c r="P473" s="8"/>
      <c r="Q473" s="8"/>
      <c r="R473" s="8"/>
      <c r="S473" s="8"/>
      <c r="T473" s="8"/>
      <c r="U473" s="8"/>
      <c r="V473" s="8"/>
      <c r="W473" s="8"/>
      <c r="X473" s="8"/>
      <c r="Y473" s="8"/>
      <c r="Z473" s="8"/>
    </row>
    <row r="474">
      <c r="A474" s="8">
        <f>IFERROR(__xludf.DUMMYFUNCTION("""COMPUTED_VALUE"""),805.0)</f>
        <v>805</v>
      </c>
      <c r="B474" s="8" t="str">
        <f>IFERROR(__xludf.DUMMYFUNCTION("""COMPUTED_VALUE"""),"annual")</f>
        <v>annual</v>
      </c>
      <c r="C474" s="8" t="str">
        <f>IFERROR(__xludf.DUMMYFUNCTION("""COMPUTED_VALUE"""),"cutting, tuber")</f>
        <v>cutting, tuber</v>
      </c>
      <c r="D474" s="55" t="str">
        <f>IFERROR(__xludf.DUMMYFUNCTION("""COMPUTED_VALUE"""),"Ipomoea batatas")</f>
        <v>Ipomoea batatas</v>
      </c>
      <c r="E474" s="55" t="str">
        <f>IFERROR(__xludf.DUMMYFUNCTION("""COMPUTED_VALUE"""),"Topaz")</f>
        <v>Topaz</v>
      </c>
      <c r="F474" s="8" t="str">
        <f>IFERROR(__xludf.DUMMYFUNCTION("""COMPUTED_VALUE"""),"Sweet Potato")</f>
        <v>Sweet Potato</v>
      </c>
      <c r="G474" s="8" t="str">
        <f>IFERROR(__xludf.DUMMYFUNCTION("""COMPUTED_VALUE"""),"Patate douce")</f>
        <v>Patate douce</v>
      </c>
      <c r="H474" s="8" t="str">
        <f>IFERROR(__xludf.DUMMYFUNCTION("""COMPUTED_VALUE"""),"seed")</f>
        <v>seed</v>
      </c>
      <c r="I474" s="8"/>
      <c r="J474" s="8"/>
      <c r="K474" s="8">
        <f>IFERROR(__xludf.DUMMYFUNCTION("""COMPUTED_VALUE"""),9219.0)</f>
        <v>9219</v>
      </c>
      <c r="L474" s="8"/>
      <c r="M474" s="8">
        <f>IFERROR(__xludf.DUMMYFUNCTION("""COMPUTED_VALUE"""),0.0)</f>
        <v>0</v>
      </c>
      <c r="N474" s="8">
        <f>IFERROR(__xludf.DUMMYFUNCTION("""COMPUTED_VALUE"""),3.0)</f>
        <v>3</v>
      </c>
      <c r="O474" s="8"/>
      <c r="P474" s="8"/>
      <c r="Q474" s="8"/>
      <c r="R474" s="8"/>
      <c r="S474" s="8"/>
      <c r="T474" s="8"/>
      <c r="U474" s="8"/>
      <c r="V474" s="8"/>
      <c r="W474" s="8"/>
      <c r="X474" s="8"/>
      <c r="Y474" s="8"/>
      <c r="Z474" s="8"/>
    </row>
    <row r="475">
      <c r="A475" s="8">
        <f>IFERROR(__xludf.DUMMYFUNCTION("""COMPUTED_VALUE"""),806.0)</f>
        <v>806</v>
      </c>
      <c r="B475" s="8" t="str">
        <f>IFERROR(__xludf.DUMMYFUNCTION("""COMPUTED_VALUE"""),"annual")</f>
        <v>annual</v>
      </c>
      <c r="C475" s="8" t="str">
        <f>IFERROR(__xludf.DUMMYFUNCTION("""COMPUTED_VALUE"""),"cutting, tuber")</f>
        <v>cutting, tuber</v>
      </c>
      <c r="D475" s="55" t="str">
        <f>IFERROR(__xludf.DUMMYFUNCTION("""COMPUTED_VALUE"""),"Ipomoea batatas")</f>
        <v>Ipomoea batatas</v>
      </c>
      <c r="E475" s="55" t="str">
        <f>IFERROR(__xludf.DUMMYFUNCTION("""COMPUTED_VALUE"""),"Topaz")</f>
        <v>Topaz</v>
      </c>
      <c r="F475" s="8" t="str">
        <f>IFERROR(__xludf.DUMMYFUNCTION("""COMPUTED_VALUE"""),"Sweet Potato")</f>
        <v>Sweet Potato</v>
      </c>
      <c r="G475" s="8" t="str">
        <f>IFERROR(__xludf.DUMMYFUNCTION("""COMPUTED_VALUE"""),"Patate douce")</f>
        <v>Patate douce</v>
      </c>
      <c r="H475" s="8" t="str">
        <f>IFERROR(__xludf.DUMMYFUNCTION("""COMPUTED_VALUE"""),"seed")</f>
        <v>seed</v>
      </c>
      <c r="I475" s="8"/>
      <c r="J475" s="8"/>
      <c r="K475" s="8">
        <f>IFERROR(__xludf.DUMMYFUNCTION("""COMPUTED_VALUE"""),9227.0)</f>
        <v>9227</v>
      </c>
      <c r="L475" s="8"/>
      <c r="M475" s="8">
        <f>IFERROR(__xludf.DUMMYFUNCTION("""COMPUTED_VALUE"""),0.0)</f>
        <v>0</v>
      </c>
      <c r="N475" s="8">
        <f>IFERROR(__xludf.DUMMYFUNCTION("""COMPUTED_VALUE"""),3.0)</f>
        <v>3</v>
      </c>
      <c r="O475" s="8"/>
      <c r="P475" s="8"/>
      <c r="Q475" s="8"/>
      <c r="R475" s="8"/>
      <c r="S475" s="8"/>
      <c r="T475" s="8"/>
      <c r="U475" s="8"/>
      <c r="V475" s="8"/>
      <c r="W475" s="8"/>
      <c r="X475" s="8"/>
      <c r="Y475" s="8"/>
      <c r="Z475" s="8"/>
    </row>
    <row r="476">
      <c r="A476" s="8">
        <f>IFERROR(__xludf.DUMMYFUNCTION("""COMPUTED_VALUE"""),807.0)</f>
        <v>807</v>
      </c>
      <c r="B476" s="8" t="str">
        <f>IFERROR(__xludf.DUMMYFUNCTION("""COMPUTED_VALUE"""),"annual")</f>
        <v>annual</v>
      </c>
      <c r="C476" s="8" t="str">
        <f>IFERROR(__xludf.DUMMYFUNCTION("""COMPUTED_VALUE"""),"cutting, tuber")</f>
        <v>cutting, tuber</v>
      </c>
      <c r="D476" s="55" t="str">
        <f>IFERROR(__xludf.DUMMYFUNCTION("""COMPUTED_VALUE"""),"Ipomoea batatas")</f>
        <v>Ipomoea batatas</v>
      </c>
      <c r="E476" s="55" t="str">
        <f>IFERROR(__xludf.DUMMYFUNCTION("""COMPUTED_VALUE"""),"Topaz")</f>
        <v>Topaz</v>
      </c>
      <c r="F476" s="8" t="str">
        <f>IFERROR(__xludf.DUMMYFUNCTION("""COMPUTED_VALUE"""),"Sweet Potato")</f>
        <v>Sweet Potato</v>
      </c>
      <c r="G476" s="8" t="str">
        <f>IFERROR(__xludf.DUMMYFUNCTION("""COMPUTED_VALUE"""),"Patate douce")</f>
        <v>Patate douce</v>
      </c>
      <c r="H476" s="8" t="str">
        <f>IFERROR(__xludf.DUMMYFUNCTION("""COMPUTED_VALUE"""),"seed")</f>
        <v>seed</v>
      </c>
      <c r="I476" s="8"/>
      <c r="J476" s="8"/>
      <c r="K476" s="8">
        <f>IFERROR(__xludf.DUMMYFUNCTION("""COMPUTED_VALUE"""),9229.0)</f>
        <v>9229</v>
      </c>
      <c r="L476" s="8"/>
      <c r="M476" s="8">
        <f>IFERROR(__xludf.DUMMYFUNCTION("""COMPUTED_VALUE"""),0.0)</f>
        <v>0</v>
      </c>
      <c r="N476" s="8">
        <f>IFERROR(__xludf.DUMMYFUNCTION("""COMPUTED_VALUE"""),3.0)</f>
        <v>3</v>
      </c>
      <c r="O476" s="8"/>
      <c r="P476" s="8"/>
      <c r="Q476" s="8"/>
      <c r="R476" s="8"/>
      <c r="S476" s="8"/>
      <c r="T476" s="8"/>
      <c r="U476" s="8"/>
      <c r="V476" s="8"/>
      <c r="W476" s="8"/>
      <c r="X476" s="8"/>
      <c r="Y476" s="8"/>
      <c r="Z476" s="8"/>
    </row>
    <row r="477">
      <c r="A477" s="8">
        <f>IFERROR(__xludf.DUMMYFUNCTION("""COMPUTED_VALUE"""),808.0)</f>
        <v>808</v>
      </c>
      <c r="B477" s="8" t="str">
        <f>IFERROR(__xludf.DUMMYFUNCTION("""COMPUTED_VALUE"""),"tree")</f>
        <v>tree</v>
      </c>
      <c r="C477" s="8" t="str">
        <f>IFERROR(__xludf.DUMMYFUNCTION("""COMPUTED_VALUE"""),"graft")</f>
        <v>graft</v>
      </c>
      <c r="D477" s="55" t="str">
        <f>IFERROR(__xludf.DUMMYFUNCTION("""COMPUTED_VALUE"""),"Eriobotrya japonica")</f>
        <v>Eriobotrya japonica</v>
      </c>
      <c r="E477" s="8" t="str">
        <f>IFERROR(__xludf.DUMMYFUNCTION("""COMPUTED_VALUE"""),"Seedling")</f>
        <v>Seedling</v>
      </c>
      <c r="F477" s="8" t="str">
        <f>IFERROR(__xludf.DUMMYFUNCTION("""COMPUTED_VALUE"""),"Loquat")</f>
        <v>Loquat</v>
      </c>
      <c r="G477" s="8" t="str">
        <f>IFERROR(__xludf.DUMMYFUNCTION("""COMPUTED_VALUE"""),"Néflier du Japon")</f>
        <v>Néflier du Japon</v>
      </c>
      <c r="H477" s="8" t="str">
        <f>IFERROR(__xludf.DUMMYFUNCTION("""COMPUTED_VALUE"""),"seed")</f>
        <v>seed</v>
      </c>
      <c r="I477" s="8" t="str">
        <f>IFERROR(__xludf.DUMMYFUNCTION("""COMPUTED_VALUE"""),"053")</f>
        <v>053</v>
      </c>
      <c r="J477" s="8"/>
      <c r="K477" s="8"/>
      <c r="L477" s="8" t="str">
        <f>IFERROR(__xludf.DUMMYFUNCTION("""COMPUTED_VALUE"""),"multiple")</f>
        <v>multiple</v>
      </c>
      <c r="M477" s="8">
        <f>IFERROR(__xludf.DUMMYFUNCTION("""COMPUTED_VALUE"""),5.0)</f>
        <v>5</v>
      </c>
      <c r="N477" s="8">
        <f>IFERROR(__xludf.DUMMYFUNCTION("""COMPUTED_VALUE"""),7.0)</f>
        <v>7</v>
      </c>
      <c r="O477" s="8"/>
      <c r="P477" s="8"/>
      <c r="Q477" s="8"/>
      <c r="R477" s="8"/>
      <c r="S477" s="8"/>
      <c r="T477" s="8"/>
      <c r="U477" s="8"/>
      <c r="V477" s="8"/>
      <c r="W477" s="8"/>
      <c r="X477" s="8"/>
      <c r="Y477" s="8"/>
      <c r="Z477" s="8"/>
    </row>
    <row r="478">
      <c r="A478" s="8">
        <f>IFERROR(__xludf.DUMMYFUNCTION("""COMPUTED_VALUE"""),809.0)</f>
        <v>809</v>
      </c>
      <c r="B478" s="8" t="str">
        <f>IFERROR(__xludf.DUMMYFUNCTION("""COMPUTED_VALUE"""),"tree")</f>
        <v>tree</v>
      </c>
      <c r="C478" s="8" t="str">
        <f>IFERROR(__xludf.DUMMYFUNCTION("""COMPUTED_VALUE"""),"graft")</f>
        <v>graft</v>
      </c>
      <c r="D478" s="55" t="str">
        <f>IFERROR(__xludf.DUMMYFUNCTION("""COMPUTED_VALUE"""),"Eriobotrya japonica")</f>
        <v>Eriobotrya japonica</v>
      </c>
      <c r="E478" s="8" t="str">
        <f>IFERROR(__xludf.DUMMYFUNCTION("""COMPUTED_VALUE"""),"Seedling")</f>
        <v>Seedling</v>
      </c>
      <c r="F478" s="8" t="str">
        <f>IFERROR(__xludf.DUMMYFUNCTION("""COMPUTED_VALUE"""),"Loquat")</f>
        <v>Loquat</v>
      </c>
      <c r="G478" s="8" t="str">
        <f>IFERROR(__xludf.DUMMYFUNCTION("""COMPUTED_VALUE"""),"Néflier du Japon")</f>
        <v>Néflier du Japon</v>
      </c>
      <c r="H478" s="8" t="str">
        <f>IFERROR(__xludf.DUMMYFUNCTION("""COMPUTED_VALUE"""),"seed")</f>
        <v>seed</v>
      </c>
      <c r="I478" s="8" t="str">
        <f>IFERROR(__xludf.DUMMYFUNCTION("""COMPUTED_VALUE"""),"074")</f>
        <v>074</v>
      </c>
      <c r="J478" s="8"/>
      <c r="K478" s="8"/>
      <c r="L478" s="8" t="str">
        <f>IFERROR(__xludf.DUMMYFUNCTION("""COMPUTED_VALUE"""),"multiple")</f>
        <v>multiple</v>
      </c>
      <c r="M478" s="8">
        <f>IFERROR(__xludf.DUMMYFUNCTION("""COMPUTED_VALUE"""),5.0)</f>
        <v>5</v>
      </c>
      <c r="N478" s="8">
        <f>IFERROR(__xludf.DUMMYFUNCTION("""COMPUTED_VALUE"""),7.0)</f>
        <v>7</v>
      </c>
      <c r="O478" s="8"/>
      <c r="P478" s="8"/>
      <c r="Q478" s="8"/>
      <c r="R478" s="8"/>
      <c r="S478" s="8"/>
      <c r="T478" s="8"/>
      <c r="U478" s="8"/>
      <c r="V478" s="8"/>
      <c r="W478" s="8"/>
      <c r="X478" s="8"/>
      <c r="Y478" s="8"/>
      <c r="Z478" s="8"/>
    </row>
    <row r="479">
      <c r="A479" s="8">
        <f>IFERROR(__xludf.DUMMYFUNCTION("""COMPUTED_VALUE"""),810.0)</f>
        <v>810</v>
      </c>
      <c r="B479" s="8" t="str">
        <f>IFERROR(__xludf.DUMMYFUNCTION("""COMPUTED_VALUE"""),"tree")</f>
        <v>tree</v>
      </c>
      <c r="C479" s="8" t="str">
        <f>IFERROR(__xludf.DUMMYFUNCTION("""COMPUTED_VALUE"""),"graft")</f>
        <v>graft</v>
      </c>
      <c r="D479" s="55" t="str">
        <f>IFERROR(__xludf.DUMMYFUNCTION("""COMPUTED_VALUE"""),"Eriobotrya japonica")</f>
        <v>Eriobotrya japonica</v>
      </c>
      <c r="E479" s="8" t="str">
        <f>IFERROR(__xludf.DUMMYFUNCTION("""COMPUTED_VALUE"""),"Seedling")</f>
        <v>Seedling</v>
      </c>
      <c r="F479" s="8" t="str">
        <f>IFERROR(__xludf.DUMMYFUNCTION("""COMPUTED_VALUE"""),"Loquat")</f>
        <v>Loquat</v>
      </c>
      <c r="G479" s="8" t="str">
        <f>IFERROR(__xludf.DUMMYFUNCTION("""COMPUTED_VALUE"""),"Néflier du Japon")</f>
        <v>Néflier du Japon</v>
      </c>
      <c r="H479" s="8" t="str">
        <f>IFERROR(__xludf.DUMMYFUNCTION("""COMPUTED_VALUE"""),"Loquat")</f>
        <v>Loquat</v>
      </c>
      <c r="I479" s="8" t="str">
        <f>IFERROR(__xludf.DUMMYFUNCTION("""COMPUTED_VALUE"""),"Sell")</f>
        <v>Sell</v>
      </c>
      <c r="J479" s="8"/>
      <c r="K479" s="8"/>
      <c r="L479" s="8" t="str">
        <f>IFERROR(__xludf.DUMMYFUNCTION("""COMPUTED_VALUE"""),"multiple")</f>
        <v>multiple</v>
      </c>
      <c r="M479" s="8">
        <f>IFERROR(__xludf.DUMMYFUNCTION("""COMPUTED_VALUE"""),5.0)</f>
        <v>5</v>
      </c>
      <c r="N479" s="8">
        <f>IFERROR(__xludf.DUMMYFUNCTION("""COMPUTED_VALUE"""),7.0)</f>
        <v>7</v>
      </c>
      <c r="O479" s="8"/>
      <c r="P479" s="8"/>
      <c r="Q479" s="8"/>
      <c r="R479" s="8"/>
      <c r="S479" s="8"/>
      <c r="T479" s="8"/>
      <c r="U479" s="8"/>
      <c r="V479" s="8"/>
      <c r="W479" s="8"/>
      <c r="X479" s="8"/>
      <c r="Y479" s="8"/>
      <c r="Z479" s="8"/>
    </row>
    <row r="480">
      <c r="A480" s="8">
        <f>IFERROR(__xludf.DUMMYFUNCTION("""COMPUTED_VALUE"""),811.0)</f>
        <v>811</v>
      </c>
      <c r="B480" s="8" t="str">
        <f>IFERROR(__xludf.DUMMYFUNCTION("""COMPUTED_VALUE"""),"tree")</f>
        <v>tree</v>
      </c>
      <c r="C480" s="8" t="str">
        <f>IFERROR(__xludf.DUMMYFUNCTION("""COMPUTED_VALUE"""),"graft")</f>
        <v>graft</v>
      </c>
      <c r="D480" s="55" t="str">
        <f>IFERROR(__xludf.DUMMYFUNCTION("""COMPUTED_VALUE"""),"Eriobotrya japonica")</f>
        <v>Eriobotrya japonica</v>
      </c>
      <c r="E480" s="8" t="str">
        <f>IFERROR(__xludf.DUMMYFUNCTION("""COMPUTED_VALUE"""),"Seedling")</f>
        <v>Seedling</v>
      </c>
      <c r="F480" s="8" t="str">
        <f>IFERROR(__xludf.DUMMYFUNCTION("""COMPUTED_VALUE"""),"Loquat")</f>
        <v>Loquat</v>
      </c>
      <c r="G480" s="8" t="str">
        <f>IFERROR(__xludf.DUMMYFUNCTION("""COMPUTED_VALUE"""),"Néflier du Japon")</f>
        <v>Néflier du Japon</v>
      </c>
      <c r="H480" s="8" t="str">
        <f>IFERROR(__xludf.DUMMYFUNCTION("""COMPUTED_VALUE"""),"Loquat")</f>
        <v>Loquat</v>
      </c>
      <c r="I480" s="8" t="str">
        <f>IFERROR(__xludf.DUMMYFUNCTION("""COMPUTED_VALUE"""),"Sell")</f>
        <v>Sell</v>
      </c>
      <c r="J480" s="8"/>
      <c r="K480" s="8"/>
      <c r="L480" s="8" t="str">
        <f>IFERROR(__xludf.DUMMYFUNCTION("""COMPUTED_VALUE"""),"multiple")</f>
        <v>multiple</v>
      </c>
      <c r="M480" s="8">
        <f>IFERROR(__xludf.DUMMYFUNCTION("""COMPUTED_VALUE"""),5.0)</f>
        <v>5</v>
      </c>
      <c r="N480" s="8">
        <f>IFERROR(__xludf.DUMMYFUNCTION("""COMPUTED_VALUE"""),7.0)</f>
        <v>7</v>
      </c>
      <c r="O480" s="8"/>
      <c r="P480" s="8"/>
      <c r="Q480" s="8"/>
      <c r="R480" s="8"/>
      <c r="S480" s="8"/>
      <c r="T480" s="8"/>
      <c r="U480" s="8"/>
      <c r="V480" s="8"/>
      <c r="W480" s="8"/>
      <c r="X480" s="8"/>
      <c r="Y480" s="8"/>
      <c r="Z480" s="8"/>
    </row>
    <row r="481">
      <c r="A481" s="8">
        <f>IFERROR(__xludf.DUMMYFUNCTION("""COMPUTED_VALUE"""),812.0)</f>
        <v>812</v>
      </c>
      <c r="B481" s="8" t="str">
        <f>IFERROR(__xludf.DUMMYFUNCTION("""COMPUTED_VALUE"""),"tree")</f>
        <v>tree</v>
      </c>
      <c r="C481" s="8" t="str">
        <f>IFERROR(__xludf.DUMMYFUNCTION("""COMPUTED_VALUE"""),"graft")</f>
        <v>graft</v>
      </c>
      <c r="D481" s="55" t="str">
        <f>IFERROR(__xludf.DUMMYFUNCTION("""COMPUTED_VALUE"""),"Eriobotrya japonica")</f>
        <v>Eriobotrya japonica</v>
      </c>
      <c r="E481" s="8" t="str">
        <f>IFERROR(__xludf.DUMMYFUNCTION("""COMPUTED_VALUE"""),"Seedling")</f>
        <v>Seedling</v>
      </c>
      <c r="F481" s="8" t="str">
        <f>IFERROR(__xludf.DUMMYFUNCTION("""COMPUTED_VALUE"""),"Loquat")</f>
        <v>Loquat</v>
      </c>
      <c r="G481" s="8" t="str">
        <f>IFERROR(__xludf.DUMMYFUNCTION("""COMPUTED_VALUE"""),"Néflier du Japon")</f>
        <v>Néflier du Japon</v>
      </c>
      <c r="H481" s="8" t="str">
        <f>IFERROR(__xludf.DUMMYFUNCTION("""COMPUTED_VALUE"""),"seed")</f>
        <v>seed</v>
      </c>
      <c r="I481" s="8" t="str">
        <f>IFERROR(__xludf.DUMMYFUNCTION("""COMPUTED_VALUE"""),"052A")</f>
        <v>052A</v>
      </c>
      <c r="J481" s="8"/>
      <c r="K481" s="8"/>
      <c r="L481" s="8" t="str">
        <f>IFERROR(__xludf.DUMMYFUNCTION("""COMPUTED_VALUE"""),"multiple")</f>
        <v>multiple</v>
      </c>
      <c r="M481" s="8">
        <f>IFERROR(__xludf.DUMMYFUNCTION("""COMPUTED_VALUE"""),5.0)</f>
        <v>5</v>
      </c>
      <c r="N481" s="8">
        <f>IFERROR(__xludf.DUMMYFUNCTION("""COMPUTED_VALUE"""),7.0)</f>
        <v>7</v>
      </c>
      <c r="O481" s="8"/>
      <c r="P481" s="8"/>
      <c r="Q481" s="8"/>
      <c r="R481" s="8"/>
      <c r="S481" s="8"/>
      <c r="T481" s="8"/>
      <c r="U481" s="8"/>
      <c r="V481" s="8"/>
      <c r="W481" s="8"/>
      <c r="X481" s="8"/>
      <c r="Y481" s="8"/>
      <c r="Z481" s="8"/>
    </row>
    <row r="482">
      <c r="A482" s="8">
        <f>IFERROR(__xludf.DUMMYFUNCTION("""COMPUTED_VALUE"""),813.0)</f>
        <v>813</v>
      </c>
      <c r="B482" s="8" t="str">
        <f>IFERROR(__xludf.DUMMYFUNCTION("""COMPUTED_VALUE"""),"tree")</f>
        <v>tree</v>
      </c>
      <c r="C482" s="8" t="str">
        <f>IFERROR(__xludf.DUMMYFUNCTION("""COMPUTED_VALUE"""),"graft")</f>
        <v>graft</v>
      </c>
      <c r="D482" s="55" t="str">
        <f>IFERROR(__xludf.DUMMYFUNCTION("""COMPUTED_VALUE"""),"Eriobotrya japonica")</f>
        <v>Eriobotrya japonica</v>
      </c>
      <c r="E482" s="8" t="str">
        <f>IFERROR(__xludf.DUMMYFUNCTION("""COMPUTED_VALUE"""),"Seedling")</f>
        <v>Seedling</v>
      </c>
      <c r="F482" s="8" t="str">
        <f>IFERROR(__xludf.DUMMYFUNCTION("""COMPUTED_VALUE"""),"Loquat")</f>
        <v>Loquat</v>
      </c>
      <c r="G482" s="8" t="str">
        <f>IFERROR(__xludf.DUMMYFUNCTION("""COMPUTED_VALUE"""),"Néflier du Japon")</f>
        <v>Néflier du Japon</v>
      </c>
      <c r="H482" s="8" t="str">
        <f>IFERROR(__xludf.DUMMYFUNCTION("""COMPUTED_VALUE"""),"seed")</f>
        <v>seed</v>
      </c>
      <c r="I482" s="8" t="str">
        <f>IFERROR(__xludf.DUMMYFUNCTION("""COMPUTED_VALUE"""),"053A")</f>
        <v>053A</v>
      </c>
      <c r="J482" s="8"/>
      <c r="K482" s="8"/>
      <c r="L482" s="8" t="str">
        <f>IFERROR(__xludf.DUMMYFUNCTION("""COMPUTED_VALUE"""),"multiple")</f>
        <v>multiple</v>
      </c>
      <c r="M482" s="8">
        <f>IFERROR(__xludf.DUMMYFUNCTION("""COMPUTED_VALUE"""),5.0)</f>
        <v>5</v>
      </c>
      <c r="N482" s="8">
        <f>IFERROR(__xludf.DUMMYFUNCTION("""COMPUTED_VALUE"""),7.0)</f>
        <v>7</v>
      </c>
      <c r="O482" s="8"/>
      <c r="P482" s="8"/>
      <c r="Q482" s="8"/>
      <c r="R482" s="8"/>
      <c r="S482" s="8"/>
      <c r="T482" s="8"/>
      <c r="U482" s="8"/>
      <c r="V482" s="8"/>
      <c r="W482" s="8"/>
      <c r="X482" s="8"/>
      <c r="Y482" s="8"/>
      <c r="Z482" s="8"/>
    </row>
    <row r="483">
      <c r="A483" s="8">
        <f>IFERROR(__xludf.DUMMYFUNCTION("""COMPUTED_VALUE"""),814.0)</f>
        <v>814</v>
      </c>
      <c r="B483" s="8" t="str">
        <f>IFERROR(__xludf.DUMMYFUNCTION("""COMPUTED_VALUE"""),"tree")</f>
        <v>tree</v>
      </c>
      <c r="C483" s="8" t="str">
        <f>IFERROR(__xludf.DUMMYFUNCTION("""COMPUTED_VALUE"""),"graft")</f>
        <v>graft</v>
      </c>
      <c r="D483" s="55" t="str">
        <f>IFERROR(__xludf.DUMMYFUNCTION("""COMPUTED_VALUE"""),"Eriobotrya japonica")</f>
        <v>Eriobotrya japonica</v>
      </c>
      <c r="E483" s="8" t="str">
        <f>IFERROR(__xludf.DUMMYFUNCTION("""COMPUTED_VALUE"""),"Seedling")</f>
        <v>Seedling</v>
      </c>
      <c r="F483" s="8" t="str">
        <f>IFERROR(__xludf.DUMMYFUNCTION("""COMPUTED_VALUE"""),"Loquat")</f>
        <v>Loquat</v>
      </c>
      <c r="G483" s="8" t="str">
        <f>IFERROR(__xludf.DUMMYFUNCTION("""COMPUTED_VALUE"""),"Néflier du Japon")</f>
        <v>Néflier du Japon</v>
      </c>
      <c r="H483" s="8" t="str">
        <f>IFERROR(__xludf.DUMMYFUNCTION("""COMPUTED_VALUE"""),"seed")</f>
        <v>seed</v>
      </c>
      <c r="I483" s="8" t="str">
        <f>IFERROR(__xludf.DUMMYFUNCTION("""COMPUTED_VALUE"""),"073A")</f>
        <v>073A</v>
      </c>
      <c r="J483" s="8"/>
      <c r="K483" s="8"/>
      <c r="L483" s="8" t="str">
        <f>IFERROR(__xludf.DUMMYFUNCTION("""COMPUTED_VALUE"""),"multiple")</f>
        <v>multiple</v>
      </c>
      <c r="M483" s="8">
        <f>IFERROR(__xludf.DUMMYFUNCTION("""COMPUTED_VALUE"""),5.0)</f>
        <v>5</v>
      </c>
      <c r="N483" s="8">
        <f>IFERROR(__xludf.DUMMYFUNCTION("""COMPUTED_VALUE"""),7.0)</f>
        <v>7</v>
      </c>
      <c r="O483" s="8"/>
      <c r="P483" s="8"/>
      <c r="Q483" s="8"/>
      <c r="R483" s="8"/>
      <c r="S483" s="8"/>
      <c r="T483" s="8"/>
      <c r="U483" s="8"/>
      <c r="V483" s="8"/>
      <c r="W483" s="8"/>
      <c r="X483" s="8"/>
      <c r="Y483" s="8"/>
      <c r="Z483" s="8"/>
    </row>
    <row r="484">
      <c r="A484" s="8">
        <f>IFERROR(__xludf.DUMMYFUNCTION("""COMPUTED_VALUE"""),825.0)</f>
        <v>825</v>
      </c>
      <c r="B484" s="8" t="str">
        <f>IFERROR(__xludf.DUMMYFUNCTION("""COMPUTED_VALUE"""),"tree")</f>
        <v>tree</v>
      </c>
      <c r="C484" s="8" t="str">
        <f>IFERROR(__xludf.DUMMYFUNCTION("""COMPUTED_VALUE"""),"seed")</f>
        <v>seed</v>
      </c>
      <c r="D484" s="55" t="str">
        <f>IFERROR(__xludf.DUMMYFUNCTION("""COMPUTED_VALUE"""),"Inga sp.")</f>
        <v>Inga sp.</v>
      </c>
      <c r="E484" s="8" t="str">
        <f>IFERROR(__xludf.DUMMYFUNCTION("""COMPUTED_VALUE"""),"Homestead, FL")</f>
        <v>Homestead, FL</v>
      </c>
      <c r="F484" s="8" t="str">
        <f>IFERROR(__xludf.DUMMYFUNCTION("""COMPUTED_VALUE"""),"Inga")</f>
        <v>Inga</v>
      </c>
      <c r="G484" s="8" t="str">
        <f>IFERROR(__xludf.DUMMYFUNCTION("""COMPUTED_VALUE"""),"Inga")</f>
        <v>Inga</v>
      </c>
      <c r="H484" s="8" t="str">
        <f>IFERROR(__xludf.DUMMYFUNCTION("""COMPUTED_VALUE"""),"Inga")</f>
        <v>Inga</v>
      </c>
      <c r="I484" s="8" t="str">
        <f>IFERROR(__xludf.DUMMYFUNCTION("""COMPUTED_VALUE"""),"219")</f>
        <v>219</v>
      </c>
      <c r="J484" s="8"/>
      <c r="K484" s="8">
        <f>IFERROR(__xludf.DUMMYFUNCTION("""COMPUTED_VALUE"""),9150.0)</f>
        <v>9150</v>
      </c>
      <c r="L484" s="8" t="str">
        <f>IFERROR(__xludf.DUMMYFUNCTION("""COMPUTED_VALUE"""),"multiple")</f>
        <v>multiple</v>
      </c>
      <c r="M484" s="8">
        <f>IFERROR(__xludf.DUMMYFUNCTION("""COMPUTED_VALUE"""),4.0)</f>
        <v>4</v>
      </c>
      <c r="N484" s="8">
        <f>IFERROR(__xludf.DUMMYFUNCTION("""COMPUTED_VALUE"""),4.0)</f>
        <v>4</v>
      </c>
      <c r="O484" s="8"/>
      <c r="P484" s="8"/>
      <c r="Q484" s="8"/>
      <c r="R484" s="8"/>
      <c r="S484" s="8"/>
      <c r="T484" s="8"/>
      <c r="U484" s="8"/>
      <c r="V484" s="8"/>
      <c r="W484" s="8"/>
      <c r="X484" s="8"/>
      <c r="Y484" s="8"/>
      <c r="Z484" s="8"/>
    </row>
    <row r="485">
      <c r="A485" s="8">
        <f>IFERROR(__xludf.DUMMYFUNCTION("""COMPUTED_VALUE"""),826.0)</f>
        <v>826</v>
      </c>
      <c r="B485" s="8" t="str">
        <f>IFERROR(__xludf.DUMMYFUNCTION("""COMPUTED_VALUE"""),"tree")</f>
        <v>tree</v>
      </c>
      <c r="C485" s="8" t="str">
        <f>IFERROR(__xludf.DUMMYFUNCTION("""COMPUTED_VALUE"""),"seed")</f>
        <v>seed</v>
      </c>
      <c r="D485" s="55" t="str">
        <f>IFERROR(__xludf.DUMMYFUNCTION("""COMPUTED_VALUE"""),"Inga sp.")</f>
        <v>Inga sp.</v>
      </c>
      <c r="E485" s="8" t="str">
        <f>IFERROR(__xludf.DUMMYFUNCTION("""COMPUTED_VALUE"""),"Homestead, FL")</f>
        <v>Homestead, FL</v>
      </c>
      <c r="F485" s="8" t="str">
        <f>IFERROR(__xludf.DUMMYFUNCTION("""COMPUTED_VALUE"""),"Inga")</f>
        <v>Inga</v>
      </c>
      <c r="G485" s="8" t="str">
        <f>IFERROR(__xludf.DUMMYFUNCTION("""COMPUTED_VALUE"""),"Inga")</f>
        <v>Inga</v>
      </c>
      <c r="H485" s="8" t="str">
        <f>IFERROR(__xludf.DUMMYFUNCTION("""COMPUTED_VALUE"""),"Inga")</f>
        <v>Inga</v>
      </c>
      <c r="I485" s="8" t="str">
        <f>IFERROR(__xludf.DUMMYFUNCTION("""COMPUTED_VALUE"""),"196")</f>
        <v>196</v>
      </c>
      <c r="J485" s="8"/>
      <c r="K485" s="8">
        <f>IFERROR(__xludf.DUMMYFUNCTION("""COMPUTED_VALUE"""),9148.0)</f>
        <v>9148</v>
      </c>
      <c r="L485" s="8" t="str">
        <f>IFERROR(__xludf.DUMMYFUNCTION("""COMPUTED_VALUE"""),"multiple")</f>
        <v>multiple</v>
      </c>
      <c r="M485" s="8">
        <f>IFERROR(__xludf.DUMMYFUNCTION("""COMPUTED_VALUE"""),4.0)</f>
        <v>4</v>
      </c>
      <c r="N485" s="8">
        <f>IFERROR(__xludf.DUMMYFUNCTION("""COMPUTED_VALUE"""),4.0)</f>
        <v>4</v>
      </c>
      <c r="O485" s="8"/>
      <c r="P485" s="8"/>
      <c r="Q485" s="8"/>
      <c r="R485" s="8"/>
      <c r="S485" s="8"/>
      <c r="T485" s="8"/>
      <c r="U485" s="8"/>
      <c r="V485" s="8"/>
      <c r="W485" s="8"/>
      <c r="X485" s="8"/>
      <c r="Y485" s="8"/>
      <c r="Z485" s="8"/>
    </row>
    <row r="486">
      <c r="A486" s="8">
        <f>IFERROR(__xludf.DUMMYFUNCTION("""COMPUTED_VALUE"""),827.0)</f>
        <v>827</v>
      </c>
      <c r="B486" s="8" t="str">
        <f>IFERROR(__xludf.DUMMYFUNCTION("""COMPUTED_VALUE"""),"tree")</f>
        <v>tree</v>
      </c>
      <c r="C486" s="8" t="str">
        <f>IFERROR(__xludf.DUMMYFUNCTION("""COMPUTED_VALUE"""),"graft")</f>
        <v>graft</v>
      </c>
      <c r="D486" s="55" t="str">
        <f>IFERROR(__xludf.DUMMYFUNCTION("""COMPUTED_VALUE"""),"Mangifera indica")</f>
        <v>Mangifera indica</v>
      </c>
      <c r="E486" s="8" t="str">
        <f>IFERROR(__xludf.DUMMYFUNCTION("""COMPUTED_VALUE"""),"Nam Doc Mai")</f>
        <v>Nam Doc Mai</v>
      </c>
      <c r="F486" s="8" t="str">
        <f>IFERROR(__xludf.DUMMYFUNCTION("""COMPUTED_VALUE"""),"Mango")</f>
        <v>Mango</v>
      </c>
      <c r="G486" s="8" t="str">
        <f>IFERROR(__xludf.DUMMYFUNCTION("""COMPUTED_VALUE"""),"mangue")</f>
        <v>mangue</v>
      </c>
      <c r="H486" s="8" t="str">
        <f>IFERROR(__xludf.DUMMYFUNCTION("""COMPUTED_VALUE"""),"Mango")</f>
        <v>Mango</v>
      </c>
      <c r="I486" s="8" t="str">
        <f>IFERROR(__xludf.DUMMYFUNCTION("""COMPUTED_VALUE"""),"194")</f>
        <v>194</v>
      </c>
      <c r="J486" s="8"/>
      <c r="K486" s="8">
        <f>IFERROR(__xludf.DUMMYFUNCTION("""COMPUTED_VALUE"""),9098.0)</f>
        <v>9098</v>
      </c>
      <c r="L486" s="8">
        <f>IFERROR(__xludf.DUMMYFUNCTION("""COMPUTED_VALUE"""),1.0)</f>
        <v>1</v>
      </c>
      <c r="M486" s="8">
        <f>IFERROR(__xludf.DUMMYFUNCTION("""COMPUTED_VALUE"""),2.0)</f>
        <v>2</v>
      </c>
      <c r="N486" s="8">
        <f>IFERROR(__xludf.DUMMYFUNCTION("""COMPUTED_VALUE"""),2.0)</f>
        <v>2</v>
      </c>
      <c r="O486" s="8"/>
      <c r="P486" s="8"/>
      <c r="Q486" s="8"/>
      <c r="R486" s="8"/>
      <c r="S486" s="8"/>
      <c r="T486" s="8"/>
      <c r="U486" s="8"/>
      <c r="V486" s="8"/>
      <c r="W486" s="8"/>
      <c r="X486" s="8"/>
      <c r="Y486" s="8"/>
      <c r="Z486" s="8"/>
    </row>
    <row r="487">
      <c r="A487" s="8">
        <f>IFERROR(__xludf.DUMMYFUNCTION("""COMPUTED_VALUE"""),828.0)</f>
        <v>828</v>
      </c>
      <c r="B487" s="8" t="str">
        <f>IFERROR(__xludf.DUMMYFUNCTION("""COMPUTED_VALUE"""),"tree")</f>
        <v>tree</v>
      </c>
      <c r="C487" s="8" t="str">
        <f>IFERROR(__xludf.DUMMYFUNCTION("""COMPUTED_VALUE"""),"graft")</f>
        <v>graft</v>
      </c>
      <c r="D487" s="55" t="str">
        <f>IFERROR(__xludf.DUMMYFUNCTION("""COMPUTED_VALUE"""),"Mangifera indica")</f>
        <v>Mangifera indica</v>
      </c>
      <c r="E487" s="8" t="str">
        <f>IFERROR(__xludf.DUMMYFUNCTION("""COMPUTED_VALUE"""),"Kiew  Yao")</f>
        <v>Kiew  Yao</v>
      </c>
      <c r="F487" s="8" t="str">
        <f>IFERROR(__xludf.DUMMYFUNCTION("""COMPUTED_VALUE"""),"Mango")</f>
        <v>Mango</v>
      </c>
      <c r="G487" s="8" t="str">
        <f>IFERROR(__xludf.DUMMYFUNCTION("""COMPUTED_VALUE"""),"mangue")</f>
        <v>mangue</v>
      </c>
      <c r="H487" s="8" t="str">
        <f>IFERROR(__xludf.DUMMYFUNCTION("""COMPUTED_VALUE"""),"Mango")</f>
        <v>Mango</v>
      </c>
      <c r="I487" s="8" t="str">
        <f>IFERROR(__xludf.DUMMYFUNCTION("""COMPUTED_VALUE"""),"192")</f>
        <v>192</v>
      </c>
      <c r="J487" s="8"/>
      <c r="K487" s="8">
        <f>IFERROR(__xludf.DUMMYFUNCTION("""COMPUTED_VALUE"""),9140.0)</f>
        <v>9140</v>
      </c>
      <c r="L487" s="8">
        <f>IFERROR(__xludf.DUMMYFUNCTION("""COMPUTED_VALUE"""),1.0)</f>
        <v>1</v>
      </c>
      <c r="M487" s="8">
        <f>IFERROR(__xludf.DUMMYFUNCTION("""COMPUTED_VALUE"""),1.0)</f>
        <v>1</v>
      </c>
      <c r="N487" s="8">
        <f>IFERROR(__xludf.DUMMYFUNCTION("""COMPUTED_VALUE"""),1.0)</f>
        <v>1</v>
      </c>
      <c r="O487" s="8"/>
      <c r="P487" s="8"/>
      <c r="Q487" s="8"/>
      <c r="R487" s="8"/>
      <c r="S487" s="8"/>
      <c r="T487" s="8"/>
      <c r="U487" s="8"/>
      <c r="V487" s="8"/>
      <c r="W487" s="8"/>
      <c r="X487" s="8"/>
      <c r="Y487" s="8"/>
      <c r="Z487" s="8"/>
    </row>
    <row r="488">
      <c r="A488" s="8">
        <f>IFERROR(__xludf.DUMMYFUNCTION("""COMPUTED_VALUE"""),829.0)</f>
        <v>829</v>
      </c>
      <c r="B488" s="8" t="str">
        <f>IFERROR(__xludf.DUMMYFUNCTION("""COMPUTED_VALUE"""),"tree")</f>
        <v>tree</v>
      </c>
      <c r="C488" s="8" t="str">
        <f>IFERROR(__xludf.DUMMYFUNCTION("""COMPUTED_VALUE"""),"graft")</f>
        <v>graft</v>
      </c>
      <c r="D488" s="55" t="str">
        <f>IFERROR(__xludf.DUMMYFUNCTION("""COMPUTED_VALUE"""),"Artocarpus integer")</f>
        <v>Artocarpus integer</v>
      </c>
      <c r="E488" s="8" t="str">
        <f>IFERROR(__xludf.DUMMYFUNCTION("""COMPUTED_VALUE"""),"Seedling")</f>
        <v>Seedling</v>
      </c>
      <c r="F488" s="8" t="str">
        <f>IFERROR(__xludf.DUMMYFUNCTION("""COMPUTED_VALUE"""),"Chempadek")</f>
        <v>Chempadek</v>
      </c>
      <c r="G488" s="8" t="str">
        <f>IFERROR(__xludf.DUMMYFUNCTION("""COMPUTED_VALUE"""),"Chempadek")</f>
        <v>Chempadek</v>
      </c>
      <c r="H488" s="8" t="str">
        <f>IFERROR(__xludf.DUMMYFUNCTION("""COMPUTED_VALUE"""),"Chempadek")</f>
        <v>Chempadek</v>
      </c>
      <c r="I488" s="8" t="str">
        <f>IFERROR(__xludf.DUMMYFUNCTION("""COMPUTED_VALUE"""),"191")</f>
        <v>191</v>
      </c>
      <c r="J488" s="8"/>
      <c r="K488" s="8">
        <f>IFERROR(__xludf.DUMMYFUNCTION("""COMPUTED_VALUE"""),9115.0)</f>
        <v>9115</v>
      </c>
      <c r="L488" s="8" t="str">
        <f>IFERROR(__xludf.DUMMYFUNCTION("""COMPUTED_VALUE"""),"multiple")</f>
        <v>multiple</v>
      </c>
      <c r="M488" s="8">
        <f>IFERROR(__xludf.DUMMYFUNCTION("""COMPUTED_VALUE"""),2.0)</f>
        <v>2</v>
      </c>
      <c r="N488" s="8">
        <f>IFERROR(__xludf.DUMMYFUNCTION("""COMPUTED_VALUE"""),2.0)</f>
        <v>2</v>
      </c>
      <c r="O488" s="8"/>
      <c r="P488" s="8"/>
      <c r="Q488" s="8"/>
      <c r="R488" s="8"/>
      <c r="S488" s="8"/>
      <c r="T488" s="8"/>
      <c r="U488" s="8"/>
      <c r="V488" s="8"/>
      <c r="W488" s="8"/>
      <c r="X488" s="8"/>
      <c r="Y488" s="8"/>
      <c r="Z488" s="8"/>
    </row>
    <row r="489">
      <c r="A489" s="8">
        <f>IFERROR(__xludf.DUMMYFUNCTION("""COMPUTED_VALUE"""),830.0)</f>
        <v>830</v>
      </c>
      <c r="B489" s="8" t="str">
        <f>IFERROR(__xludf.DUMMYFUNCTION("""COMPUTED_VALUE"""),"tree")</f>
        <v>tree</v>
      </c>
      <c r="C489" s="8" t="str">
        <f>IFERROR(__xludf.DUMMYFUNCTION("""COMPUTED_VALUE"""),"graft")</f>
        <v>graft</v>
      </c>
      <c r="D489" s="55" t="str">
        <f>IFERROR(__xludf.DUMMYFUNCTION("""COMPUTED_VALUE"""),"Casimiroa edulis")</f>
        <v>Casimiroa edulis</v>
      </c>
      <c r="E489" s="8" t="str">
        <f>IFERROR(__xludf.DUMMYFUNCTION("""COMPUTED_VALUE"""),"Redlands")</f>
        <v>Redlands</v>
      </c>
      <c r="F489" s="8" t="str">
        <f>IFERROR(__xludf.DUMMYFUNCTION("""COMPUTED_VALUE"""),"White Sapote")</f>
        <v>White Sapote</v>
      </c>
      <c r="G489" s="8" t="str">
        <f>IFERROR(__xludf.DUMMYFUNCTION("""COMPUTED_VALUE"""),"Sapote blanche")</f>
        <v>Sapote blanche</v>
      </c>
      <c r="H489" s="8" t="str">
        <f>IFERROR(__xludf.DUMMYFUNCTION("""COMPUTED_VALUE"""),"White Sapote")</f>
        <v>White Sapote</v>
      </c>
      <c r="I489" s="8" t="str">
        <f>IFERROR(__xludf.DUMMYFUNCTION("""COMPUTED_VALUE"""),"183")</f>
        <v>183</v>
      </c>
      <c r="J489" s="8"/>
      <c r="K489" s="8">
        <f>IFERROR(__xludf.DUMMYFUNCTION("""COMPUTED_VALUE"""),9111.0)</f>
        <v>9111</v>
      </c>
      <c r="L489" s="8"/>
      <c r="M489" s="8">
        <f>IFERROR(__xludf.DUMMYFUNCTION("""COMPUTED_VALUE"""),1.0)</f>
        <v>1</v>
      </c>
      <c r="N489" s="8">
        <f>IFERROR(__xludf.DUMMYFUNCTION("""COMPUTED_VALUE"""),1.0)</f>
        <v>1</v>
      </c>
      <c r="O489" s="8"/>
      <c r="P489" s="8"/>
      <c r="Q489" s="8"/>
      <c r="R489" s="8"/>
      <c r="S489" s="8"/>
      <c r="T489" s="8"/>
      <c r="U489" s="8"/>
      <c r="V489" s="8"/>
      <c r="W489" s="8"/>
      <c r="X489" s="8"/>
      <c r="Y489" s="8"/>
      <c r="Z489" s="8"/>
    </row>
    <row r="490">
      <c r="A490" s="8">
        <f>IFERROR(__xludf.DUMMYFUNCTION("""COMPUTED_VALUE"""),831.0)</f>
        <v>831</v>
      </c>
      <c r="B490" s="8" t="str">
        <f>IFERROR(__xludf.DUMMYFUNCTION("""COMPUTED_VALUE"""),"tree")</f>
        <v>tree</v>
      </c>
      <c r="C490" s="8" t="str">
        <f>IFERROR(__xludf.DUMMYFUNCTION("""COMPUTED_VALUE"""),"seed")</f>
        <v>seed</v>
      </c>
      <c r="D490" s="55" t="str">
        <f>IFERROR(__xludf.DUMMYFUNCTION("""COMPUTED_VALUE"""),"Spondias dulcis")</f>
        <v>Spondias dulcis</v>
      </c>
      <c r="E490" s="8" t="str">
        <f>IFERROR(__xludf.DUMMYFUNCTION("""COMPUTED_VALUE"""),"Seedling")</f>
        <v>Seedling</v>
      </c>
      <c r="F490" s="8" t="str">
        <f>IFERROR(__xludf.DUMMYFUNCTION("""COMPUTED_VALUE"""),"June Plum")</f>
        <v>June Plum</v>
      </c>
      <c r="G490" s="8" t="str">
        <f>IFERROR(__xludf.DUMMYFUNCTION("""COMPUTED_VALUE"""),"Prune de juin")</f>
        <v>Prune de juin</v>
      </c>
      <c r="H490" s="8" t="str">
        <f>IFERROR(__xludf.DUMMYFUNCTION("""COMPUTED_VALUE"""),"June Plum")</f>
        <v>June Plum</v>
      </c>
      <c r="I490" s="8" t="str">
        <f>IFERROR(__xludf.DUMMYFUNCTION("""COMPUTED_VALUE"""),"039")</f>
        <v>039</v>
      </c>
      <c r="J490" s="8"/>
      <c r="K490" s="8">
        <f>IFERROR(__xludf.DUMMYFUNCTION("""COMPUTED_VALUE"""),9187.0)</f>
        <v>9187</v>
      </c>
      <c r="L490" s="8"/>
      <c r="M490" s="8">
        <f>IFERROR(__xludf.DUMMYFUNCTION("""COMPUTED_VALUE"""),1.0)</f>
        <v>1</v>
      </c>
      <c r="N490" s="8">
        <f>IFERROR(__xludf.DUMMYFUNCTION("""COMPUTED_VALUE"""),1.0)</f>
        <v>1</v>
      </c>
      <c r="O490" s="8"/>
      <c r="P490" s="8"/>
      <c r="Q490" s="8"/>
      <c r="R490" s="8"/>
      <c r="S490" s="8"/>
      <c r="T490" s="8"/>
      <c r="U490" s="8"/>
      <c r="V490" s="8"/>
      <c r="W490" s="8"/>
      <c r="X490" s="8"/>
      <c r="Y490" s="8"/>
      <c r="Z490" s="8"/>
    </row>
    <row r="491">
      <c r="A491" s="8">
        <f>IFERROR(__xludf.DUMMYFUNCTION("""COMPUTED_VALUE"""),832.0)</f>
        <v>832</v>
      </c>
      <c r="B491" s="8" t="str">
        <f>IFERROR(__xludf.DUMMYFUNCTION("""COMPUTED_VALUE"""),"tree")</f>
        <v>tree</v>
      </c>
      <c r="C491" s="8" t="str">
        <f>IFERROR(__xludf.DUMMYFUNCTION("""COMPUTED_VALUE"""),"seed")</f>
        <v>seed</v>
      </c>
      <c r="D491" s="55" t="str">
        <f>IFERROR(__xludf.DUMMYFUNCTION("""COMPUTED_VALUE"""),"Inga sp.")</f>
        <v>Inga sp.</v>
      </c>
      <c r="E491" s="8" t="str">
        <f>IFERROR(__xludf.DUMMYFUNCTION("""COMPUTED_VALUE"""),"Homestead, FL")</f>
        <v>Homestead, FL</v>
      </c>
      <c r="F491" s="8" t="str">
        <f>IFERROR(__xludf.DUMMYFUNCTION("""COMPUTED_VALUE"""),"Inga")</f>
        <v>Inga</v>
      </c>
      <c r="G491" s="8" t="str">
        <f>IFERROR(__xludf.DUMMYFUNCTION("""COMPUTED_VALUE"""),"Inga")</f>
        <v>Inga</v>
      </c>
      <c r="H491" s="8" t="str">
        <f>IFERROR(__xludf.DUMMYFUNCTION("""COMPUTED_VALUE"""),"Inga")</f>
        <v>Inga</v>
      </c>
      <c r="I491" s="8" t="str">
        <f>IFERROR(__xludf.DUMMYFUNCTION("""COMPUTED_VALUE"""),"041")</f>
        <v>041</v>
      </c>
      <c r="J491" s="8"/>
      <c r="K491" s="8">
        <f>IFERROR(__xludf.DUMMYFUNCTION("""COMPUTED_VALUE"""),9152.0)</f>
        <v>9152</v>
      </c>
      <c r="L491" s="8" t="str">
        <f>IFERROR(__xludf.DUMMYFUNCTION("""COMPUTED_VALUE"""),"multiple")</f>
        <v>multiple</v>
      </c>
      <c r="M491" s="8">
        <f>IFERROR(__xludf.DUMMYFUNCTION("""COMPUTED_VALUE"""),4.0)</f>
        <v>4</v>
      </c>
      <c r="N491" s="8">
        <f>IFERROR(__xludf.DUMMYFUNCTION("""COMPUTED_VALUE"""),4.0)</f>
        <v>4</v>
      </c>
      <c r="O491" s="8"/>
      <c r="P491" s="8"/>
      <c r="Q491" s="8"/>
      <c r="R491" s="8"/>
      <c r="S491" s="8"/>
      <c r="T491" s="8"/>
      <c r="U491" s="8"/>
      <c r="V491" s="8"/>
      <c r="W491" s="8"/>
      <c r="X491" s="8"/>
      <c r="Y491" s="8"/>
      <c r="Z491" s="8"/>
    </row>
    <row r="492">
      <c r="A492" s="8">
        <f>IFERROR(__xludf.DUMMYFUNCTION("""COMPUTED_VALUE"""),833.0)</f>
        <v>833</v>
      </c>
      <c r="B492" s="8" t="str">
        <f>IFERROR(__xludf.DUMMYFUNCTION("""COMPUTED_VALUE"""),"tree")</f>
        <v>tree</v>
      </c>
      <c r="C492" s="8" t="str">
        <f>IFERROR(__xludf.DUMMYFUNCTION("""COMPUTED_VALUE"""),"seed")</f>
        <v>seed</v>
      </c>
      <c r="D492" s="55" t="str">
        <f>IFERROR(__xludf.DUMMYFUNCTION("""COMPUTED_VALUE"""),"Inga sp.")</f>
        <v>Inga sp.</v>
      </c>
      <c r="E492" s="8" t="str">
        <f>IFERROR(__xludf.DUMMYFUNCTION("""COMPUTED_VALUE"""),"Homestead, FL")</f>
        <v>Homestead, FL</v>
      </c>
      <c r="F492" s="8" t="str">
        <f>IFERROR(__xludf.DUMMYFUNCTION("""COMPUTED_VALUE"""),"Inga")</f>
        <v>Inga</v>
      </c>
      <c r="G492" s="8" t="str">
        <f>IFERROR(__xludf.DUMMYFUNCTION("""COMPUTED_VALUE"""),"Inga")</f>
        <v>Inga</v>
      </c>
      <c r="H492" s="8" t="str">
        <f>IFERROR(__xludf.DUMMYFUNCTION("""COMPUTED_VALUE"""),"Inga")</f>
        <v>Inga</v>
      </c>
      <c r="I492" s="8" t="str">
        <f>IFERROR(__xludf.DUMMYFUNCTION("""COMPUTED_VALUE"""),"043")</f>
        <v>043</v>
      </c>
      <c r="J492" s="8"/>
      <c r="K492" s="8">
        <f>IFERROR(__xludf.DUMMYFUNCTION("""COMPUTED_VALUE"""),9151.0)</f>
        <v>9151</v>
      </c>
      <c r="L492" s="8" t="str">
        <f>IFERROR(__xludf.DUMMYFUNCTION("""COMPUTED_VALUE"""),"multiple")</f>
        <v>multiple</v>
      </c>
      <c r="M492" s="8">
        <f>IFERROR(__xludf.DUMMYFUNCTION("""COMPUTED_VALUE"""),4.0)</f>
        <v>4</v>
      </c>
      <c r="N492" s="8">
        <f>IFERROR(__xludf.DUMMYFUNCTION("""COMPUTED_VALUE"""),4.0)</f>
        <v>4</v>
      </c>
      <c r="O492" s="8"/>
      <c r="P492" s="8"/>
      <c r="Q492" s="8"/>
      <c r="R492" s="8"/>
      <c r="S492" s="8"/>
      <c r="T492" s="8"/>
      <c r="U492" s="8"/>
      <c r="V492" s="8"/>
      <c r="W492" s="8"/>
      <c r="X492" s="8"/>
      <c r="Y492" s="8"/>
      <c r="Z492" s="8"/>
    </row>
    <row r="493">
      <c r="A493" s="8">
        <f>IFERROR(__xludf.DUMMYFUNCTION("""COMPUTED_VALUE"""),834.0)</f>
        <v>834</v>
      </c>
      <c r="B493" s="8" t="str">
        <f>IFERROR(__xludf.DUMMYFUNCTION("""COMPUTED_VALUE"""),"tree")</f>
        <v>tree</v>
      </c>
      <c r="C493" s="8" t="str">
        <f>IFERROR(__xludf.DUMMYFUNCTION("""COMPUTED_VALUE"""),"seed")</f>
        <v>seed</v>
      </c>
      <c r="D493" s="55" t="str">
        <f>IFERROR(__xludf.DUMMYFUNCTION("""COMPUTED_VALUE"""),"Inga sp.")</f>
        <v>Inga sp.</v>
      </c>
      <c r="E493" s="8" t="str">
        <f>IFERROR(__xludf.DUMMYFUNCTION("""COMPUTED_VALUE"""),"Homestead, FL")</f>
        <v>Homestead, FL</v>
      </c>
      <c r="F493" s="8" t="str">
        <f>IFERROR(__xludf.DUMMYFUNCTION("""COMPUTED_VALUE"""),"Inga")</f>
        <v>Inga</v>
      </c>
      <c r="G493" s="8" t="str">
        <f>IFERROR(__xludf.DUMMYFUNCTION("""COMPUTED_VALUE"""),"Inga")</f>
        <v>Inga</v>
      </c>
      <c r="H493" s="8" t="str">
        <f>IFERROR(__xludf.DUMMYFUNCTION("""COMPUTED_VALUE"""),"Inga")</f>
        <v>Inga</v>
      </c>
      <c r="I493" s="8" t="str">
        <f>IFERROR(__xludf.DUMMYFUNCTION("""COMPUTED_VALUE"""),"045")</f>
        <v>045</v>
      </c>
      <c r="J493" s="8"/>
      <c r="K493" s="8">
        <f>IFERROR(__xludf.DUMMYFUNCTION("""COMPUTED_VALUE"""),9149.0)</f>
        <v>9149</v>
      </c>
      <c r="L493" s="8" t="str">
        <f>IFERROR(__xludf.DUMMYFUNCTION("""COMPUTED_VALUE"""),"multiple")</f>
        <v>multiple</v>
      </c>
      <c r="M493" s="8">
        <f>IFERROR(__xludf.DUMMYFUNCTION("""COMPUTED_VALUE"""),4.0)</f>
        <v>4</v>
      </c>
      <c r="N493" s="8">
        <f>IFERROR(__xludf.DUMMYFUNCTION("""COMPUTED_VALUE"""),4.0)</f>
        <v>4</v>
      </c>
      <c r="O493" s="8"/>
      <c r="P493" s="8"/>
      <c r="Q493" s="8"/>
      <c r="R493" s="8"/>
      <c r="S493" s="8"/>
      <c r="T493" s="8"/>
      <c r="U493" s="8"/>
      <c r="V493" s="8"/>
      <c r="W493" s="8"/>
      <c r="X493" s="8"/>
      <c r="Y493" s="8"/>
      <c r="Z493" s="8"/>
    </row>
    <row r="494">
      <c r="A494" s="8">
        <f>IFERROR(__xludf.DUMMYFUNCTION("""COMPUTED_VALUE"""),835.0)</f>
        <v>835</v>
      </c>
      <c r="B494" s="8" t="str">
        <f>IFERROR(__xludf.DUMMYFUNCTION("""COMPUTED_VALUE"""),"tree")</f>
        <v>tree</v>
      </c>
      <c r="C494" s="8" t="str">
        <f>IFERROR(__xludf.DUMMYFUNCTION("""COMPUTED_VALUE"""),"graft")</f>
        <v>graft</v>
      </c>
      <c r="D494" s="55" t="str">
        <f>IFERROR(__xludf.DUMMYFUNCTION("""COMPUTED_VALUE"""),"Annona reticulata")</f>
        <v>Annona reticulata</v>
      </c>
      <c r="E494" s="8" t="str">
        <f>IFERROR(__xludf.DUMMYFUNCTION("""COMPUTED_VALUE"""),"Pink Seedling")</f>
        <v>Pink Seedling</v>
      </c>
      <c r="F494" s="8" t="str">
        <f>IFERROR(__xludf.DUMMYFUNCTION("""COMPUTED_VALUE"""),"Custard Apple")</f>
        <v>Custard Apple</v>
      </c>
      <c r="G494" s="8" t="str">
        <f>IFERROR(__xludf.DUMMYFUNCTION("""COMPUTED_VALUE"""),"Pomme à la crème")</f>
        <v>Pomme à la crème</v>
      </c>
      <c r="H494" s="8" t="str">
        <f>IFERROR(__xludf.DUMMYFUNCTION("""COMPUTED_VALUE"""),"Custard Apple")</f>
        <v>Custard Apple</v>
      </c>
      <c r="I494" s="8" t="str">
        <f>IFERROR(__xludf.DUMMYFUNCTION("""COMPUTED_VALUE"""),"065A")</f>
        <v>065A</v>
      </c>
      <c r="J494" s="8"/>
      <c r="K494" s="8">
        <f>IFERROR(__xludf.DUMMYFUNCTION("""COMPUTED_VALUE"""),9119.0)</f>
        <v>9119</v>
      </c>
      <c r="L494" s="8" t="str">
        <f>IFERROR(__xludf.DUMMYFUNCTION("""COMPUTED_VALUE"""),"multiple")</f>
        <v>multiple</v>
      </c>
      <c r="M494" s="8">
        <f>IFERROR(__xludf.DUMMYFUNCTION("""COMPUTED_VALUE"""),3.0)</f>
        <v>3</v>
      </c>
      <c r="N494" s="8">
        <f>IFERROR(__xludf.DUMMYFUNCTION("""COMPUTED_VALUE"""),3.0)</f>
        <v>3</v>
      </c>
      <c r="O494" s="8"/>
      <c r="P494" s="8"/>
      <c r="Q494" s="8"/>
      <c r="R494" s="8"/>
      <c r="S494" s="8"/>
      <c r="T494" s="8"/>
      <c r="U494" s="8"/>
      <c r="V494" s="8"/>
      <c r="W494" s="8"/>
      <c r="X494" s="8"/>
      <c r="Y494" s="8"/>
      <c r="Z494" s="8"/>
    </row>
    <row r="495">
      <c r="A495" s="8">
        <f>IFERROR(__xludf.DUMMYFUNCTION("""COMPUTED_VALUE"""),836.0)</f>
        <v>836</v>
      </c>
      <c r="B495" s="8" t="str">
        <f>IFERROR(__xludf.DUMMYFUNCTION("""COMPUTED_VALUE"""),"tree")</f>
        <v>tree</v>
      </c>
      <c r="C495" s="8" t="str">
        <f>IFERROR(__xludf.DUMMYFUNCTION("""COMPUTED_VALUE"""),"graft")</f>
        <v>graft</v>
      </c>
      <c r="D495" s="55" t="str">
        <f>IFERROR(__xludf.DUMMYFUNCTION("""COMPUTED_VALUE"""),"Annona reticulata")</f>
        <v>Annona reticulata</v>
      </c>
      <c r="E495" s="8" t="str">
        <f>IFERROR(__xludf.DUMMYFUNCTION("""COMPUTED_VALUE"""),"Pink Seedling")</f>
        <v>Pink Seedling</v>
      </c>
      <c r="F495" s="8" t="str">
        <f>IFERROR(__xludf.DUMMYFUNCTION("""COMPUTED_VALUE"""),"Custard Apple")</f>
        <v>Custard Apple</v>
      </c>
      <c r="G495" s="8" t="str">
        <f>IFERROR(__xludf.DUMMYFUNCTION("""COMPUTED_VALUE"""),"Pomme à la crème")</f>
        <v>Pomme à la crème</v>
      </c>
      <c r="H495" s="8" t="str">
        <f>IFERROR(__xludf.DUMMYFUNCTION("""COMPUTED_VALUE"""),"Custard Apple")</f>
        <v>Custard Apple</v>
      </c>
      <c r="I495" s="8" t="str">
        <f>IFERROR(__xludf.DUMMYFUNCTION("""COMPUTED_VALUE"""),"066")</f>
        <v>066</v>
      </c>
      <c r="J495" s="8"/>
      <c r="K495" s="8">
        <f>IFERROR(__xludf.DUMMYFUNCTION("""COMPUTED_VALUE"""),9120.0)</f>
        <v>9120</v>
      </c>
      <c r="L495" s="8" t="str">
        <f>IFERROR(__xludf.DUMMYFUNCTION("""COMPUTED_VALUE"""),"multiple")</f>
        <v>multiple</v>
      </c>
      <c r="M495" s="8">
        <f>IFERROR(__xludf.DUMMYFUNCTION("""COMPUTED_VALUE"""),3.0)</f>
        <v>3</v>
      </c>
      <c r="N495" s="8">
        <f>IFERROR(__xludf.DUMMYFUNCTION("""COMPUTED_VALUE"""),3.0)</f>
        <v>3</v>
      </c>
      <c r="O495" s="8"/>
      <c r="P495" s="8"/>
      <c r="Q495" s="8"/>
      <c r="R495" s="8"/>
      <c r="S495" s="8"/>
      <c r="T495" s="8"/>
      <c r="U495" s="8"/>
      <c r="V495" s="8"/>
      <c r="W495" s="8"/>
      <c r="X495" s="8"/>
      <c r="Y495" s="8"/>
      <c r="Z495" s="8"/>
    </row>
    <row r="496">
      <c r="A496" s="8">
        <f>IFERROR(__xludf.DUMMYFUNCTION("""COMPUTED_VALUE"""),837.0)</f>
        <v>837</v>
      </c>
      <c r="B496" s="8" t="str">
        <f>IFERROR(__xludf.DUMMYFUNCTION("""COMPUTED_VALUE"""),"tree")</f>
        <v>tree</v>
      </c>
      <c r="C496" s="8" t="str">
        <f>IFERROR(__xludf.DUMMYFUNCTION("""COMPUTED_VALUE"""),"graft")</f>
        <v>graft</v>
      </c>
      <c r="D496" s="55" t="str">
        <f>IFERROR(__xludf.DUMMYFUNCTION("""COMPUTED_VALUE"""),"Annona reticulata")</f>
        <v>Annona reticulata</v>
      </c>
      <c r="E496" s="8" t="str">
        <f>IFERROR(__xludf.DUMMYFUNCTION("""COMPUTED_VALUE"""),"Pink Seedling")</f>
        <v>Pink Seedling</v>
      </c>
      <c r="F496" s="8" t="str">
        <f>IFERROR(__xludf.DUMMYFUNCTION("""COMPUTED_VALUE"""),"Custard Apple")</f>
        <v>Custard Apple</v>
      </c>
      <c r="G496" s="8" t="str">
        <f>IFERROR(__xludf.DUMMYFUNCTION("""COMPUTED_VALUE"""),"Pomme à la crème")</f>
        <v>Pomme à la crème</v>
      </c>
      <c r="H496" s="8" t="str">
        <f>IFERROR(__xludf.DUMMYFUNCTION("""COMPUTED_VALUE"""),"Custard Apple")</f>
        <v>Custard Apple</v>
      </c>
      <c r="I496" s="8" t="str">
        <f>IFERROR(__xludf.DUMMYFUNCTION("""COMPUTED_VALUE"""),"066A")</f>
        <v>066A</v>
      </c>
      <c r="J496" s="8"/>
      <c r="K496" s="8">
        <f>IFERROR(__xludf.DUMMYFUNCTION("""COMPUTED_VALUE"""),9121.0)</f>
        <v>9121</v>
      </c>
      <c r="L496" s="8" t="str">
        <f>IFERROR(__xludf.DUMMYFUNCTION("""COMPUTED_VALUE"""),"multiple")</f>
        <v>multiple</v>
      </c>
      <c r="M496" s="8">
        <f>IFERROR(__xludf.DUMMYFUNCTION("""COMPUTED_VALUE"""),3.0)</f>
        <v>3</v>
      </c>
      <c r="N496" s="8">
        <f>IFERROR(__xludf.DUMMYFUNCTION("""COMPUTED_VALUE"""),3.0)</f>
        <v>3</v>
      </c>
      <c r="O496" s="8"/>
      <c r="P496" s="8"/>
      <c r="Q496" s="8"/>
      <c r="R496" s="8"/>
      <c r="S496" s="8"/>
      <c r="T496" s="8"/>
      <c r="U496" s="8"/>
      <c r="V496" s="8"/>
      <c r="W496" s="8"/>
      <c r="X496" s="8"/>
      <c r="Y496" s="8"/>
      <c r="Z496" s="8"/>
    </row>
    <row r="497">
      <c r="A497" s="8">
        <f>IFERROR(__xludf.DUMMYFUNCTION("""COMPUTED_VALUE"""),838.0)</f>
        <v>838</v>
      </c>
      <c r="B497" s="8" t="str">
        <f>IFERROR(__xludf.DUMMYFUNCTION("""COMPUTED_VALUE"""),"tree")</f>
        <v>tree</v>
      </c>
      <c r="C497" s="8" t="str">
        <f>IFERROR(__xludf.DUMMYFUNCTION("""COMPUTED_VALUE"""),"graft")</f>
        <v>graft</v>
      </c>
      <c r="D497" s="55" t="str">
        <f>IFERROR(__xludf.DUMMYFUNCTION("""COMPUTED_VALUE"""),"Annona mucosa")</f>
        <v>Annona mucosa</v>
      </c>
      <c r="E497" s="8" t="str">
        <f>IFERROR(__xludf.DUMMYFUNCTION("""COMPUTED_VALUE"""),"Seedling")</f>
        <v>Seedling</v>
      </c>
      <c r="F497" s="8" t="str">
        <f>IFERROR(__xludf.DUMMYFUNCTION("""COMPUTED_VALUE"""),"Rollinia")</f>
        <v>Rollinia</v>
      </c>
      <c r="G497" s="8" t="str">
        <f>IFERROR(__xludf.DUMMYFUNCTION("""COMPUTED_VALUE"""),"Rollinia")</f>
        <v>Rollinia</v>
      </c>
      <c r="H497" s="8" t="str">
        <f>IFERROR(__xludf.DUMMYFUNCTION("""COMPUTED_VALUE"""),"Rollinia")</f>
        <v>Rollinia</v>
      </c>
      <c r="I497" s="8" t="str">
        <f>IFERROR(__xludf.DUMMYFUNCTION("""COMPUTED_VALUE"""),"067A")</f>
        <v>067A</v>
      </c>
      <c r="J497" s="8"/>
      <c r="K497" s="8">
        <f>IFERROR(__xludf.DUMMYFUNCTION("""COMPUTED_VALUE"""),9108.0)</f>
        <v>9108</v>
      </c>
      <c r="L497" s="8" t="str">
        <f>IFERROR(__xludf.DUMMYFUNCTION("""COMPUTED_VALUE"""),"multiple")</f>
        <v>multiple</v>
      </c>
      <c r="M497" s="8">
        <f>IFERROR(__xludf.DUMMYFUNCTION("""COMPUTED_VALUE"""),3.0)</f>
        <v>3</v>
      </c>
      <c r="N497" s="8">
        <f>IFERROR(__xludf.DUMMYFUNCTION("""COMPUTED_VALUE"""),3.0)</f>
        <v>3</v>
      </c>
      <c r="O497" s="8"/>
      <c r="P497" s="8"/>
      <c r="Q497" s="8"/>
      <c r="R497" s="8"/>
      <c r="S497" s="8"/>
      <c r="T497" s="8"/>
      <c r="U497" s="8"/>
      <c r="V497" s="8"/>
      <c r="W497" s="8"/>
      <c r="X497" s="8"/>
      <c r="Y497" s="8"/>
      <c r="Z497" s="8"/>
    </row>
    <row r="498">
      <c r="A498" s="8">
        <f>IFERROR(__xludf.DUMMYFUNCTION("""COMPUTED_VALUE"""),839.0)</f>
        <v>839</v>
      </c>
      <c r="B498" s="8" t="str">
        <f>IFERROR(__xludf.DUMMYFUNCTION("""COMPUTED_VALUE"""),"tree")</f>
        <v>tree</v>
      </c>
      <c r="C498" s="8" t="str">
        <f>IFERROR(__xludf.DUMMYFUNCTION("""COMPUTED_VALUE"""),"graft")</f>
        <v>graft</v>
      </c>
      <c r="D498" s="55" t="str">
        <f>IFERROR(__xludf.DUMMYFUNCTION("""COMPUTED_VALUE"""),"Annona muricata")</f>
        <v>Annona muricata</v>
      </c>
      <c r="E498" s="8" t="str">
        <f>IFERROR(__xludf.DUMMYFUNCTION("""COMPUTED_VALUE"""),"Grafted Homestead Prolific")</f>
        <v>Grafted Homestead Prolific</v>
      </c>
      <c r="F498" s="8" t="str">
        <f>IFERROR(__xludf.DUMMYFUNCTION("""COMPUTED_VALUE"""),"Soursop")</f>
        <v>Soursop</v>
      </c>
      <c r="G498" s="8" t="str">
        <f>IFERROR(__xludf.DUMMYFUNCTION("""COMPUTED_VALUE"""),"Corossol")</f>
        <v>Corossol</v>
      </c>
      <c r="H498" s="8" t="str">
        <f>IFERROR(__xludf.DUMMYFUNCTION("""COMPUTED_VALUE"""),"Soursop")</f>
        <v>Soursop</v>
      </c>
      <c r="I498" s="8" t="str">
        <f>IFERROR(__xludf.DUMMYFUNCTION("""COMPUTED_VALUE"""),"068")</f>
        <v>068</v>
      </c>
      <c r="J498" s="8"/>
      <c r="K498" s="8">
        <f>IFERROR(__xludf.DUMMYFUNCTION("""COMPUTED_VALUE"""),9144.0)</f>
        <v>9144</v>
      </c>
      <c r="L498" s="8" t="str">
        <f>IFERROR(__xludf.DUMMYFUNCTION("""COMPUTED_VALUE"""),"multiple")</f>
        <v>multiple</v>
      </c>
      <c r="M498" s="8">
        <f>IFERROR(__xludf.DUMMYFUNCTION("""COMPUTED_VALUE"""),1.0)</f>
        <v>1</v>
      </c>
      <c r="N498" s="8">
        <f>IFERROR(__xludf.DUMMYFUNCTION("""COMPUTED_VALUE"""),1.0)</f>
        <v>1</v>
      </c>
      <c r="O498" s="8"/>
      <c r="P498" s="8"/>
      <c r="Q498" s="8"/>
      <c r="R498" s="8"/>
      <c r="S498" s="8"/>
      <c r="T498" s="8"/>
      <c r="U498" s="8"/>
      <c r="V498" s="8"/>
      <c r="W498" s="8"/>
      <c r="X498" s="8"/>
      <c r="Y498" s="8"/>
      <c r="Z498" s="8"/>
    </row>
    <row r="499">
      <c r="A499" s="8">
        <f>IFERROR(__xludf.DUMMYFUNCTION("""COMPUTED_VALUE"""),840.0)</f>
        <v>840</v>
      </c>
      <c r="B499" s="8" t="str">
        <f>IFERROR(__xludf.DUMMYFUNCTION("""COMPUTED_VALUE"""),"perennial")</f>
        <v>perennial</v>
      </c>
      <c r="C499" s="8" t="str">
        <f>IFERROR(__xludf.DUMMYFUNCTION("""COMPUTED_VALUE"""),"cutting")</f>
        <v>cutting</v>
      </c>
      <c r="D499" s="55" t="str">
        <f>IFERROR(__xludf.DUMMYFUNCTION("""COMPUTED_VALUE"""),"Malpighia emarginata")</f>
        <v>Malpighia emarginata</v>
      </c>
      <c r="E499" s="8" t="str">
        <f>IFERROR(__xludf.DUMMYFUNCTION("""COMPUTED_VALUE"""),"Seedling")</f>
        <v>Seedling</v>
      </c>
      <c r="F499" s="8" t="str">
        <f>IFERROR(__xludf.DUMMYFUNCTION("""COMPUTED_VALUE"""),"Barbados Cherry")</f>
        <v>Barbados Cherry</v>
      </c>
      <c r="G499" s="8" t="str">
        <f>IFERROR(__xludf.DUMMYFUNCTION("""COMPUTED_VALUE"""),"Cerise de la Barbade")</f>
        <v>Cerise de la Barbade</v>
      </c>
      <c r="H499" s="8" t="str">
        <f>IFERROR(__xludf.DUMMYFUNCTION("""COMPUTED_VALUE"""),"Barbados Cherry")</f>
        <v>Barbados Cherry</v>
      </c>
      <c r="I499" s="8" t="str">
        <f>IFERROR(__xludf.DUMMYFUNCTION("""COMPUTED_VALUE"""),"068A")</f>
        <v>068A</v>
      </c>
      <c r="J499" s="8"/>
      <c r="K499" s="8">
        <f>IFERROR(__xludf.DUMMYFUNCTION("""COMPUTED_VALUE"""),9184.0)</f>
        <v>9184</v>
      </c>
      <c r="L499" s="8">
        <f>IFERROR(__xludf.DUMMYFUNCTION("""COMPUTED_VALUE"""),1.0)</f>
        <v>1</v>
      </c>
      <c r="M499" s="8">
        <f>IFERROR(__xludf.DUMMYFUNCTION("""COMPUTED_VALUE"""),2.0)</f>
        <v>2</v>
      </c>
      <c r="N499" s="8">
        <f>IFERROR(__xludf.DUMMYFUNCTION("""COMPUTED_VALUE"""),2.0)</f>
        <v>2</v>
      </c>
      <c r="O499" s="8"/>
      <c r="P499" s="8"/>
      <c r="Q499" s="8"/>
      <c r="R499" s="8"/>
      <c r="S499" s="8"/>
      <c r="T499" s="8"/>
      <c r="U499" s="8"/>
      <c r="V499" s="8"/>
      <c r="W499" s="8"/>
      <c r="X499" s="8"/>
      <c r="Y499" s="8"/>
      <c r="Z499" s="8"/>
    </row>
    <row r="500">
      <c r="A500" s="8">
        <f>IFERROR(__xludf.DUMMYFUNCTION("""COMPUTED_VALUE"""),841.0)</f>
        <v>841</v>
      </c>
      <c r="B500" s="8" t="str">
        <f>IFERROR(__xludf.DUMMYFUNCTION("""COMPUTED_VALUE"""),"tree")</f>
        <v>tree</v>
      </c>
      <c r="C500" s="8" t="str">
        <f>IFERROR(__xludf.DUMMYFUNCTION("""COMPUTED_VALUE"""),"seed")</f>
        <v>seed</v>
      </c>
      <c r="D500" s="55" t="str">
        <f>IFERROR(__xludf.DUMMYFUNCTION("""COMPUTED_VALUE"""),"Myrciaria glazioviana")</f>
        <v>Myrciaria glazioviana</v>
      </c>
      <c r="E500" s="8" t="str">
        <f>IFERROR(__xludf.DUMMYFUNCTION("""COMPUTED_VALUE"""),"Seedling")</f>
        <v>Seedling</v>
      </c>
      <c r="F500" s="8" t="str">
        <f>IFERROR(__xludf.DUMMYFUNCTION("""COMPUTED_VALUE"""),"Yellow Jaboticaba")</f>
        <v>Yellow Jaboticaba</v>
      </c>
      <c r="G500" s="8" t="str">
        <f>IFERROR(__xludf.DUMMYFUNCTION("""COMPUTED_VALUE"""),"Jaboticaba jaune")</f>
        <v>Jaboticaba jaune</v>
      </c>
      <c r="H500" s="8" t="str">
        <f>IFERROR(__xludf.DUMMYFUNCTION("""COMPUTED_VALUE"""),"Yellow Jaboticaba")</f>
        <v>Yellow Jaboticaba</v>
      </c>
      <c r="I500" s="8" t="str">
        <f>IFERROR(__xludf.DUMMYFUNCTION("""COMPUTED_VALUE"""),"069")</f>
        <v>069</v>
      </c>
      <c r="J500" s="8"/>
      <c r="K500" s="8">
        <f>IFERROR(__xludf.DUMMYFUNCTION("""COMPUTED_VALUE"""),9063.0)</f>
        <v>9063</v>
      </c>
      <c r="L500" s="8"/>
      <c r="M500" s="8">
        <f>IFERROR(__xludf.DUMMYFUNCTION("""COMPUTED_VALUE"""),1.0)</f>
        <v>1</v>
      </c>
      <c r="N500" s="8">
        <f>IFERROR(__xludf.DUMMYFUNCTION("""COMPUTED_VALUE"""),1.0)</f>
        <v>1</v>
      </c>
      <c r="O500" s="8"/>
      <c r="P500" s="8"/>
      <c r="Q500" s="8"/>
      <c r="R500" s="8"/>
      <c r="S500" s="8"/>
      <c r="T500" s="8"/>
      <c r="U500" s="8"/>
      <c r="V500" s="8"/>
      <c r="W500" s="8"/>
      <c r="X500" s="8"/>
      <c r="Y500" s="8"/>
      <c r="Z500" s="8"/>
    </row>
    <row r="501">
      <c r="A501" s="8">
        <f>IFERROR(__xludf.DUMMYFUNCTION("""COMPUTED_VALUE"""),842.0)</f>
        <v>842</v>
      </c>
      <c r="B501" s="8" t="str">
        <f>IFERROR(__xludf.DUMMYFUNCTION("""COMPUTED_VALUE"""),"tree")</f>
        <v>tree</v>
      </c>
      <c r="C501" s="8" t="str">
        <f>IFERROR(__xludf.DUMMYFUNCTION("""COMPUTED_VALUE"""),"graft")</f>
        <v>graft</v>
      </c>
      <c r="D501" s="55" t="str">
        <f>IFERROR(__xludf.DUMMYFUNCTION("""COMPUTED_VALUE"""),"Annona reticulata")</f>
        <v>Annona reticulata</v>
      </c>
      <c r="E501" s="8" t="str">
        <f>IFERROR(__xludf.DUMMYFUNCTION("""COMPUTED_VALUE"""),"San Pablo Seedling")</f>
        <v>San Pablo Seedling</v>
      </c>
      <c r="F501" s="8" t="str">
        <f>IFERROR(__xludf.DUMMYFUNCTION("""COMPUTED_VALUE"""),"Custard Apple")</f>
        <v>Custard Apple</v>
      </c>
      <c r="G501" s="8" t="str">
        <f>IFERROR(__xludf.DUMMYFUNCTION("""COMPUTED_VALUE"""),"Pomme à la crème")</f>
        <v>Pomme à la crème</v>
      </c>
      <c r="H501" s="8" t="str">
        <f>IFERROR(__xludf.DUMMYFUNCTION("""COMPUTED_VALUE"""),"Custard Apple")</f>
        <v>Custard Apple</v>
      </c>
      <c r="I501" s="8" t="str">
        <f>IFERROR(__xludf.DUMMYFUNCTION("""COMPUTED_VALUE"""),"117")</f>
        <v>117</v>
      </c>
      <c r="J501" s="8"/>
      <c r="K501" s="8">
        <f>IFERROR(__xludf.DUMMYFUNCTION("""COMPUTED_VALUE"""),9034.0)</f>
        <v>9034</v>
      </c>
      <c r="L501" s="8" t="str">
        <f>IFERROR(__xludf.DUMMYFUNCTION("""COMPUTED_VALUE"""),"multiple")</f>
        <v>multiple</v>
      </c>
      <c r="M501" s="8">
        <f>IFERROR(__xludf.DUMMYFUNCTION("""COMPUTED_VALUE"""),1.0)</f>
        <v>1</v>
      </c>
      <c r="N501" s="8">
        <f>IFERROR(__xludf.DUMMYFUNCTION("""COMPUTED_VALUE"""),1.0)</f>
        <v>1</v>
      </c>
      <c r="O501" s="8"/>
      <c r="P501" s="8"/>
      <c r="Q501" s="8"/>
      <c r="R501" s="8"/>
      <c r="S501" s="8"/>
      <c r="T501" s="8"/>
      <c r="U501" s="8"/>
      <c r="V501" s="8"/>
      <c r="W501" s="8"/>
      <c r="X501" s="8"/>
      <c r="Y501" s="8"/>
      <c r="Z501" s="8"/>
    </row>
    <row r="502">
      <c r="A502" s="8">
        <f>IFERROR(__xludf.DUMMYFUNCTION("""COMPUTED_VALUE"""),843.0)</f>
        <v>843</v>
      </c>
      <c r="B502" s="8" t="str">
        <f>IFERROR(__xludf.DUMMYFUNCTION("""COMPUTED_VALUE"""),"tree")</f>
        <v>tree</v>
      </c>
      <c r="C502" s="8" t="str">
        <f>IFERROR(__xludf.DUMMYFUNCTION("""COMPUTED_VALUE"""),"graft")</f>
        <v>graft</v>
      </c>
      <c r="D502" s="55" t="str">
        <f>IFERROR(__xludf.DUMMYFUNCTION("""COMPUTED_VALUE"""),"Annona squamosa")</f>
        <v>Annona squamosa</v>
      </c>
      <c r="E502" s="8" t="str">
        <f>IFERROR(__xludf.DUMMYFUNCTION("""COMPUTED_VALUE"""),"Green Seedling")</f>
        <v>Green Seedling</v>
      </c>
      <c r="F502" s="8" t="str">
        <f>IFERROR(__xludf.DUMMYFUNCTION("""COMPUTED_VALUE"""),"Sugar Apple")</f>
        <v>Sugar Apple</v>
      </c>
      <c r="G502" s="8" t="str">
        <f>IFERROR(__xludf.DUMMYFUNCTION("""COMPUTED_VALUE"""),"Pomme Sucrée")</f>
        <v>Pomme Sucrée</v>
      </c>
      <c r="H502" s="8" t="str">
        <f>IFERROR(__xludf.DUMMYFUNCTION("""COMPUTED_VALUE"""),"Sugar Apple")</f>
        <v>Sugar Apple</v>
      </c>
      <c r="I502" s="8" t="str">
        <f>IFERROR(__xludf.DUMMYFUNCTION("""COMPUTED_VALUE"""),"117A")</f>
        <v>117A</v>
      </c>
      <c r="J502" s="8"/>
      <c r="K502" s="8">
        <f>IFERROR(__xludf.DUMMYFUNCTION("""COMPUTED_VALUE"""),9073.0)</f>
        <v>9073</v>
      </c>
      <c r="L502" s="8" t="str">
        <f>IFERROR(__xludf.DUMMYFUNCTION("""COMPUTED_VALUE"""),"multiple")</f>
        <v>multiple</v>
      </c>
      <c r="M502" s="8">
        <f>IFERROR(__xludf.DUMMYFUNCTION("""COMPUTED_VALUE"""),1.0)</f>
        <v>1</v>
      </c>
      <c r="N502" s="8">
        <f>IFERROR(__xludf.DUMMYFUNCTION("""COMPUTED_VALUE"""),1.0)</f>
        <v>1</v>
      </c>
      <c r="O502" s="8"/>
      <c r="P502" s="8"/>
      <c r="Q502" s="8"/>
      <c r="R502" s="8"/>
      <c r="S502" s="8"/>
      <c r="T502" s="8"/>
      <c r="U502" s="8"/>
      <c r="V502" s="8"/>
      <c r="W502" s="8"/>
      <c r="X502" s="8"/>
      <c r="Y502" s="8"/>
      <c r="Z502" s="8"/>
    </row>
    <row r="503">
      <c r="A503" s="8">
        <f>IFERROR(__xludf.DUMMYFUNCTION("""COMPUTED_VALUE"""),844.0)</f>
        <v>844</v>
      </c>
      <c r="B503" s="8" t="str">
        <f>IFERROR(__xludf.DUMMYFUNCTION("""COMPUTED_VALUE"""),"tree")</f>
        <v>tree</v>
      </c>
      <c r="C503" s="8" t="str">
        <f>IFERROR(__xludf.DUMMYFUNCTION("""COMPUTED_VALUE"""),"graft")</f>
        <v>graft</v>
      </c>
      <c r="D503" s="8" t="str">
        <f>IFERROR(__xludf.DUMMYFUNCTION("""COMPUTED_VALUE"""),"Annona cherimola x A. reticulata")</f>
        <v>Annona cherimola x A. reticulata</v>
      </c>
      <c r="E503" s="8" t="str">
        <f>IFERROR(__xludf.DUMMYFUNCTION("""COMPUTED_VALUE"""),"Painter")</f>
        <v>Painter</v>
      </c>
      <c r="F503" s="8" t="str">
        <f>IFERROR(__xludf.DUMMYFUNCTION("""COMPUTED_VALUE"""),"Cherilata")</f>
        <v>Cherilata</v>
      </c>
      <c r="G503" s="8" t="str">
        <f>IFERROR(__xludf.DUMMYFUNCTION("""COMPUTED_VALUE"""),"Cherilata")</f>
        <v>Cherilata</v>
      </c>
      <c r="H503" s="8" t="str">
        <f>IFERROR(__xludf.DUMMYFUNCTION("""COMPUTED_VALUE"""),"graft")</f>
        <v>graft</v>
      </c>
      <c r="I503" s="8" t="str">
        <f>IFERROR(__xludf.DUMMYFUNCTION("""COMPUTED_VALUE"""),"118")</f>
        <v>118</v>
      </c>
      <c r="J503" s="8"/>
      <c r="K503" s="8">
        <f>IFERROR(__xludf.DUMMYFUNCTION("""COMPUTED_VALUE"""),9126.0)</f>
        <v>9126</v>
      </c>
      <c r="L503" s="8" t="str">
        <f>IFERROR(__xludf.DUMMYFUNCTION("""COMPUTED_VALUE"""),"multiple")</f>
        <v>multiple</v>
      </c>
      <c r="M503" s="8">
        <f>IFERROR(__xludf.DUMMYFUNCTION("""COMPUTED_VALUE"""),3.0)</f>
        <v>3</v>
      </c>
      <c r="N503" s="8">
        <f>IFERROR(__xludf.DUMMYFUNCTION("""COMPUTED_VALUE"""),3.0)</f>
        <v>3</v>
      </c>
      <c r="O503" s="8"/>
      <c r="P503" s="8"/>
      <c r="Q503" s="8"/>
      <c r="R503" s="8"/>
      <c r="S503" s="8"/>
      <c r="T503" s="8"/>
      <c r="U503" s="8"/>
      <c r="V503" s="8"/>
      <c r="W503" s="8"/>
      <c r="X503" s="8"/>
      <c r="Y503" s="8"/>
      <c r="Z503" s="8"/>
    </row>
    <row r="504">
      <c r="A504" s="8">
        <f>IFERROR(__xludf.DUMMYFUNCTION("""COMPUTED_VALUE"""),845.0)</f>
        <v>845</v>
      </c>
      <c r="B504" s="8" t="str">
        <f>IFERROR(__xludf.DUMMYFUNCTION("""COMPUTED_VALUE"""),"tree")</f>
        <v>tree</v>
      </c>
      <c r="C504" s="8" t="str">
        <f>IFERROR(__xludf.DUMMYFUNCTION("""COMPUTED_VALUE"""),"graft")</f>
        <v>graft</v>
      </c>
      <c r="D504" s="55" t="str">
        <f>IFERROR(__xludf.DUMMYFUNCTION("""COMPUTED_VALUE"""),"Annona muricata")</f>
        <v>Annona muricata</v>
      </c>
      <c r="E504" s="8" t="str">
        <f>IFERROR(__xludf.DUMMYFUNCTION("""COMPUTED_VALUE"""),"Grafted Miami")</f>
        <v>Grafted Miami</v>
      </c>
      <c r="F504" s="8" t="str">
        <f>IFERROR(__xludf.DUMMYFUNCTION("""COMPUTED_VALUE"""),"Soursop")</f>
        <v>Soursop</v>
      </c>
      <c r="G504" s="8" t="str">
        <f>IFERROR(__xludf.DUMMYFUNCTION("""COMPUTED_VALUE"""),"Corossol")</f>
        <v>Corossol</v>
      </c>
      <c r="H504" s="8" t="str">
        <f>IFERROR(__xludf.DUMMYFUNCTION("""COMPUTED_VALUE"""),"Soursop")</f>
        <v>Soursop</v>
      </c>
      <c r="I504" s="8" t="str">
        <f>IFERROR(__xludf.DUMMYFUNCTION("""COMPUTED_VALUE"""),"121A")</f>
        <v>121A</v>
      </c>
      <c r="J504" s="8"/>
      <c r="K504" s="8">
        <f>IFERROR(__xludf.DUMMYFUNCTION("""COMPUTED_VALUE"""),9145.0)</f>
        <v>9145</v>
      </c>
      <c r="L504" s="8" t="str">
        <f>IFERROR(__xludf.DUMMYFUNCTION("""COMPUTED_VALUE"""),"multiple")</f>
        <v>multiple</v>
      </c>
      <c r="M504" s="8">
        <f>IFERROR(__xludf.DUMMYFUNCTION("""COMPUTED_VALUE"""),1.0)</f>
        <v>1</v>
      </c>
      <c r="N504" s="8">
        <f>IFERROR(__xludf.DUMMYFUNCTION("""COMPUTED_VALUE"""),1.0)</f>
        <v>1</v>
      </c>
      <c r="O504" s="8"/>
      <c r="P504" s="8"/>
      <c r="Q504" s="8"/>
      <c r="R504" s="8"/>
      <c r="S504" s="8"/>
      <c r="T504" s="8"/>
      <c r="U504" s="8"/>
      <c r="V504" s="8"/>
      <c r="W504" s="8"/>
      <c r="X504" s="8"/>
      <c r="Y504" s="8"/>
      <c r="Z504" s="8"/>
    </row>
    <row r="505">
      <c r="A505" s="8">
        <f>IFERROR(__xludf.DUMMYFUNCTION("""COMPUTED_VALUE"""),846.0)</f>
        <v>846</v>
      </c>
      <c r="B505" s="8" t="str">
        <f>IFERROR(__xludf.DUMMYFUNCTION("""COMPUTED_VALUE"""),"tree")</f>
        <v>tree</v>
      </c>
      <c r="C505" s="8" t="str">
        <f>IFERROR(__xludf.DUMMYFUNCTION("""COMPUTED_VALUE"""),"graft")</f>
        <v>graft</v>
      </c>
      <c r="D505" s="55" t="str">
        <f>IFERROR(__xludf.DUMMYFUNCTION("""COMPUTED_VALUE"""),"Annona muricata")</f>
        <v>Annona muricata</v>
      </c>
      <c r="E505" s="8" t="str">
        <f>IFERROR(__xludf.DUMMYFUNCTION("""COMPUTED_VALUE"""),"Thai")</f>
        <v>Thai</v>
      </c>
      <c r="F505" s="8" t="str">
        <f>IFERROR(__xludf.DUMMYFUNCTION("""COMPUTED_VALUE"""),"Soursop")</f>
        <v>Soursop</v>
      </c>
      <c r="G505" s="8" t="str">
        <f>IFERROR(__xludf.DUMMYFUNCTION("""COMPUTED_VALUE"""),"Corossol")</f>
        <v>Corossol</v>
      </c>
      <c r="H505" s="8" t="str">
        <f>IFERROR(__xludf.DUMMYFUNCTION("""COMPUTED_VALUE"""),"Soursop")</f>
        <v>Soursop</v>
      </c>
      <c r="I505" s="8" t="str">
        <f>IFERROR(__xludf.DUMMYFUNCTION("""COMPUTED_VALUE"""),"122A")</f>
        <v>122A</v>
      </c>
      <c r="J505" s="8"/>
      <c r="K505" s="8">
        <f>IFERROR(__xludf.DUMMYFUNCTION("""COMPUTED_VALUE"""),9110.0)</f>
        <v>9110</v>
      </c>
      <c r="L505" s="8" t="str">
        <f>IFERROR(__xludf.DUMMYFUNCTION("""COMPUTED_VALUE"""),"multiple")</f>
        <v>multiple</v>
      </c>
      <c r="M505" s="8">
        <f>IFERROR(__xludf.DUMMYFUNCTION("""COMPUTED_VALUE"""),1.0)</f>
        <v>1</v>
      </c>
      <c r="N505" s="8">
        <f>IFERROR(__xludf.DUMMYFUNCTION("""COMPUTED_VALUE"""),1.0)</f>
        <v>1</v>
      </c>
      <c r="O505" s="8"/>
      <c r="P505" s="8"/>
      <c r="Q505" s="8"/>
      <c r="R505" s="8"/>
      <c r="S505" s="8"/>
      <c r="T505" s="8"/>
      <c r="U505" s="8"/>
      <c r="V505" s="8"/>
      <c r="W505" s="8"/>
      <c r="X505" s="8"/>
      <c r="Y505" s="8"/>
      <c r="Z505" s="8"/>
    </row>
    <row r="506">
      <c r="A506" s="8">
        <f>IFERROR(__xludf.DUMMYFUNCTION("""COMPUTED_VALUE"""),847.0)</f>
        <v>847</v>
      </c>
      <c r="B506" s="8" t="str">
        <f>IFERROR(__xludf.DUMMYFUNCTION("""COMPUTED_VALUE"""),"tree")</f>
        <v>tree</v>
      </c>
      <c r="C506" s="8" t="str">
        <f>IFERROR(__xludf.DUMMYFUNCTION("""COMPUTED_VALUE"""),"graft")</f>
        <v>graft</v>
      </c>
      <c r="D506" s="55" t="str">
        <f>IFERROR(__xludf.DUMMYFUNCTION("""COMPUTED_VALUE"""),"Annona mucosa")</f>
        <v>Annona mucosa</v>
      </c>
      <c r="E506" s="8" t="str">
        <f>IFERROR(__xludf.DUMMYFUNCTION("""COMPUTED_VALUE"""),"Grafted from South Miami")</f>
        <v>Grafted from South Miami</v>
      </c>
      <c r="F506" s="8" t="str">
        <f>IFERROR(__xludf.DUMMYFUNCTION("""COMPUTED_VALUE"""),"Rollinia")</f>
        <v>Rollinia</v>
      </c>
      <c r="G506" s="8" t="str">
        <f>IFERROR(__xludf.DUMMYFUNCTION("""COMPUTED_VALUE"""),"Rollinia")</f>
        <v>Rollinia</v>
      </c>
      <c r="H506" s="8" t="str">
        <f>IFERROR(__xludf.DUMMYFUNCTION("""COMPUTED_VALUE"""),"graft")</f>
        <v>graft</v>
      </c>
      <c r="I506" s="8" t="str">
        <f>IFERROR(__xludf.DUMMYFUNCTION("""COMPUTED_VALUE"""),"142")</f>
        <v>142</v>
      </c>
      <c r="J506" s="8"/>
      <c r="K506" s="8">
        <f>IFERROR(__xludf.DUMMYFUNCTION("""COMPUTED_VALUE"""),9142.0)</f>
        <v>9142</v>
      </c>
      <c r="L506" s="8" t="str">
        <f>IFERROR(__xludf.DUMMYFUNCTION("""COMPUTED_VALUE"""),"multiple")</f>
        <v>multiple</v>
      </c>
      <c r="M506" s="8">
        <f>IFERROR(__xludf.DUMMYFUNCTION("""COMPUTED_VALUE"""),1.0)</f>
        <v>1</v>
      </c>
      <c r="N506" s="8">
        <f>IFERROR(__xludf.DUMMYFUNCTION("""COMPUTED_VALUE"""),1.0)</f>
        <v>1</v>
      </c>
      <c r="O506" s="8"/>
      <c r="P506" s="8"/>
      <c r="Q506" s="8"/>
      <c r="R506" s="8"/>
      <c r="S506" s="8"/>
      <c r="T506" s="8"/>
      <c r="U506" s="8"/>
      <c r="V506" s="8"/>
      <c r="W506" s="8"/>
      <c r="X506" s="8"/>
      <c r="Y506" s="8"/>
      <c r="Z506" s="8"/>
    </row>
    <row r="507">
      <c r="A507" s="8">
        <f>IFERROR(__xludf.DUMMYFUNCTION("""COMPUTED_VALUE"""),848.0)</f>
        <v>848</v>
      </c>
      <c r="B507" s="8" t="str">
        <f>IFERROR(__xludf.DUMMYFUNCTION("""COMPUTED_VALUE"""),"tree")</f>
        <v>tree</v>
      </c>
      <c r="C507" s="8" t="str">
        <f>IFERROR(__xludf.DUMMYFUNCTION("""COMPUTED_VALUE"""),"graft")</f>
        <v>graft</v>
      </c>
      <c r="D507" s="55" t="str">
        <f>IFERROR(__xludf.DUMMYFUNCTION("""COMPUTED_VALUE"""),"Diospyros nigra")</f>
        <v>Diospyros nigra</v>
      </c>
      <c r="E507" s="8" t="str">
        <f>IFERROR(__xludf.DUMMYFUNCTION("""COMPUTED_VALUE"""),"Zill")</f>
        <v>Zill</v>
      </c>
      <c r="F507" s="8" t="str">
        <f>IFERROR(__xludf.DUMMYFUNCTION("""COMPUTED_VALUE"""),"Black Sapote")</f>
        <v>Black Sapote</v>
      </c>
      <c r="G507" s="8" t="str">
        <f>IFERROR(__xludf.DUMMYFUNCTION("""COMPUTED_VALUE"""),"Sapote noire")</f>
        <v>Sapote noire</v>
      </c>
      <c r="H507" s="8" t="str">
        <f>IFERROR(__xludf.DUMMYFUNCTION("""COMPUTED_VALUE"""),"Black Sapote")</f>
        <v>Black Sapote</v>
      </c>
      <c r="I507" s="8" t="str">
        <f>IFERROR(__xludf.DUMMYFUNCTION("""COMPUTED_VALUE"""),"144")</f>
        <v>144</v>
      </c>
      <c r="J507" s="8"/>
      <c r="K507" s="8">
        <f>IFERROR(__xludf.DUMMYFUNCTION("""COMPUTED_VALUE"""),9091.0)</f>
        <v>9091</v>
      </c>
      <c r="L507" s="8" t="str">
        <f>IFERROR(__xludf.DUMMYFUNCTION("""COMPUTED_VALUE"""),"multiple")</f>
        <v>multiple</v>
      </c>
      <c r="M507" s="8">
        <f>IFERROR(__xludf.DUMMYFUNCTION("""COMPUTED_VALUE"""),1.0)</f>
        <v>1</v>
      </c>
      <c r="N507" s="8">
        <f>IFERROR(__xludf.DUMMYFUNCTION("""COMPUTED_VALUE"""),1.0)</f>
        <v>1</v>
      </c>
      <c r="O507" s="8"/>
      <c r="P507" s="8"/>
      <c r="Q507" s="8"/>
      <c r="R507" s="8"/>
      <c r="S507" s="8"/>
      <c r="T507" s="8"/>
      <c r="U507" s="8"/>
      <c r="V507" s="8"/>
      <c r="W507" s="8"/>
      <c r="X507" s="8"/>
      <c r="Y507" s="8"/>
      <c r="Z507" s="8"/>
    </row>
    <row r="508">
      <c r="A508" s="8">
        <f>IFERROR(__xludf.DUMMYFUNCTION("""COMPUTED_VALUE"""),849.0)</f>
        <v>849</v>
      </c>
      <c r="B508" s="8" t="str">
        <f>IFERROR(__xludf.DUMMYFUNCTION("""COMPUTED_VALUE"""),"tree")</f>
        <v>tree</v>
      </c>
      <c r="C508" s="8" t="str">
        <f>IFERROR(__xludf.DUMMYFUNCTION("""COMPUTED_VALUE"""),"graft")</f>
        <v>graft</v>
      </c>
      <c r="D508" s="55" t="str">
        <f>IFERROR(__xludf.DUMMYFUNCTION("""COMPUTED_VALUE"""),"Diospyros nigra")</f>
        <v>Diospyros nigra</v>
      </c>
      <c r="E508" s="8" t="str">
        <f>IFERROR(__xludf.DUMMYFUNCTION("""COMPUTED_VALUE"""),"Excalibur")</f>
        <v>Excalibur</v>
      </c>
      <c r="F508" s="8" t="str">
        <f>IFERROR(__xludf.DUMMYFUNCTION("""COMPUTED_VALUE"""),"Black Sapote")</f>
        <v>Black Sapote</v>
      </c>
      <c r="G508" s="8" t="str">
        <f>IFERROR(__xludf.DUMMYFUNCTION("""COMPUTED_VALUE"""),"Sapote noire")</f>
        <v>Sapote noire</v>
      </c>
      <c r="H508" s="8" t="str">
        <f>IFERROR(__xludf.DUMMYFUNCTION("""COMPUTED_VALUE"""),"Black Sapote")</f>
        <v>Black Sapote</v>
      </c>
      <c r="I508" s="8" t="str">
        <f>IFERROR(__xludf.DUMMYFUNCTION("""COMPUTED_VALUE"""),"155A")</f>
        <v>155A</v>
      </c>
      <c r="J508" s="8"/>
      <c r="K508" s="8">
        <f>IFERROR(__xludf.DUMMYFUNCTION("""COMPUTED_VALUE"""),9090.0)</f>
        <v>9090</v>
      </c>
      <c r="L508" s="8" t="str">
        <f>IFERROR(__xludf.DUMMYFUNCTION("""COMPUTED_VALUE"""),"multiple")</f>
        <v>multiple</v>
      </c>
      <c r="M508" s="8">
        <f>IFERROR(__xludf.DUMMYFUNCTION("""COMPUTED_VALUE"""),1.0)</f>
        <v>1</v>
      </c>
      <c r="N508" s="8">
        <f>IFERROR(__xludf.DUMMYFUNCTION("""COMPUTED_VALUE"""),1.0)</f>
        <v>1</v>
      </c>
      <c r="O508" s="8"/>
      <c r="P508" s="8"/>
      <c r="Q508" s="8"/>
      <c r="R508" s="8"/>
      <c r="S508" s="8"/>
      <c r="T508" s="8"/>
      <c r="U508" s="8"/>
      <c r="V508" s="8"/>
      <c r="W508" s="8"/>
      <c r="X508" s="8"/>
      <c r="Y508" s="8"/>
      <c r="Z508" s="8"/>
    </row>
    <row r="509">
      <c r="A509" s="8">
        <f>IFERROR(__xludf.DUMMYFUNCTION("""COMPUTED_VALUE"""),850.0)</f>
        <v>850</v>
      </c>
      <c r="B509" s="8" t="str">
        <f>IFERROR(__xludf.DUMMYFUNCTION("""COMPUTED_VALUE"""),"tree")</f>
        <v>tree</v>
      </c>
      <c r="C509" s="8" t="str">
        <f>IFERROR(__xludf.DUMMYFUNCTION("""COMPUTED_VALUE"""),"graft")</f>
        <v>graft</v>
      </c>
      <c r="D509" s="55" t="str">
        <f>IFERROR(__xludf.DUMMYFUNCTION("""COMPUTED_VALUE"""),"Ziziphus jujuba")</f>
        <v>Ziziphus jujuba</v>
      </c>
      <c r="E509" s="8" t="str">
        <f>IFERROR(__xludf.DUMMYFUNCTION("""COMPUTED_VALUE"""),"Thai Giant")</f>
        <v>Thai Giant</v>
      </c>
      <c r="F509" s="8" t="str">
        <f>IFERROR(__xludf.DUMMYFUNCTION("""COMPUTED_VALUE"""),"Jujube")</f>
        <v>Jujube</v>
      </c>
      <c r="G509" s="8" t="str">
        <f>IFERROR(__xludf.DUMMYFUNCTION("""COMPUTED_VALUE"""),"Jujube")</f>
        <v>Jujube</v>
      </c>
      <c r="H509" s="8" t="str">
        <f>IFERROR(__xludf.DUMMYFUNCTION("""COMPUTED_VALUE"""),"graft")</f>
        <v>graft</v>
      </c>
      <c r="I509" s="8" t="str">
        <f>IFERROR(__xludf.DUMMYFUNCTION("""COMPUTED_VALUE"""),"163")</f>
        <v>163</v>
      </c>
      <c r="J509" s="8"/>
      <c r="K509" s="8">
        <f>IFERROR(__xludf.DUMMYFUNCTION("""COMPUTED_VALUE"""),9137.0)</f>
        <v>9137</v>
      </c>
      <c r="L509" s="8">
        <f>IFERROR(__xludf.DUMMYFUNCTION("""COMPUTED_VALUE"""),1.0)</f>
        <v>1</v>
      </c>
      <c r="M509" s="8">
        <f>IFERROR(__xludf.DUMMYFUNCTION("""COMPUTED_VALUE"""),3.0)</f>
        <v>3</v>
      </c>
      <c r="N509" s="8">
        <f>IFERROR(__xludf.DUMMYFUNCTION("""COMPUTED_VALUE"""),3.0)</f>
        <v>3</v>
      </c>
      <c r="O509" s="8"/>
      <c r="P509" s="8"/>
      <c r="Q509" s="8"/>
      <c r="R509" s="8"/>
      <c r="S509" s="8"/>
      <c r="T509" s="8"/>
      <c r="U509" s="8"/>
      <c r="V509" s="8"/>
      <c r="W509" s="8"/>
      <c r="X509" s="8"/>
      <c r="Y509" s="8"/>
      <c r="Z509" s="8"/>
    </row>
    <row r="510">
      <c r="A510" s="8">
        <f>IFERROR(__xludf.DUMMYFUNCTION("""COMPUTED_VALUE"""),851.0)</f>
        <v>851</v>
      </c>
      <c r="B510" s="8" t="str">
        <f>IFERROR(__xludf.DUMMYFUNCTION("""COMPUTED_VALUE"""),"perennial")</f>
        <v>perennial</v>
      </c>
      <c r="C510" s="8" t="str">
        <f>IFERROR(__xludf.DUMMYFUNCTION("""COMPUTED_VALUE"""),"cutting")</f>
        <v>cutting</v>
      </c>
      <c r="D510" s="55" t="str">
        <f>IFERROR(__xludf.DUMMYFUNCTION("""COMPUTED_VALUE"""),"Malpighia emarginata")</f>
        <v>Malpighia emarginata</v>
      </c>
      <c r="E510" s="8" t="str">
        <f>IFERROR(__xludf.DUMMYFUNCTION("""COMPUTED_VALUE"""),"Seedling")</f>
        <v>Seedling</v>
      </c>
      <c r="F510" s="8" t="str">
        <f>IFERROR(__xludf.DUMMYFUNCTION("""COMPUTED_VALUE"""),"Barbados Cherry")</f>
        <v>Barbados Cherry</v>
      </c>
      <c r="G510" s="8" t="str">
        <f>IFERROR(__xludf.DUMMYFUNCTION("""COMPUTED_VALUE"""),"Cerise de la Barbade")</f>
        <v>Cerise de la Barbade</v>
      </c>
      <c r="H510" s="8" t="str">
        <f>IFERROR(__xludf.DUMMYFUNCTION("""COMPUTED_VALUE"""),"Barbados Cherry")</f>
        <v>Barbados Cherry</v>
      </c>
      <c r="I510" s="8" t="str">
        <f>IFERROR(__xludf.DUMMYFUNCTION("""COMPUTED_VALUE"""),"171")</f>
        <v>171</v>
      </c>
      <c r="J510" s="8"/>
      <c r="K510" s="8">
        <f>IFERROR(__xludf.DUMMYFUNCTION("""COMPUTED_VALUE"""),9186.0)</f>
        <v>9186</v>
      </c>
      <c r="L510" s="8">
        <f>IFERROR(__xludf.DUMMYFUNCTION("""COMPUTED_VALUE"""),1.0)</f>
        <v>1</v>
      </c>
      <c r="M510" s="8">
        <f>IFERROR(__xludf.DUMMYFUNCTION("""COMPUTED_VALUE"""),2.0)</f>
        <v>2</v>
      </c>
      <c r="N510" s="8">
        <f>IFERROR(__xludf.DUMMYFUNCTION("""COMPUTED_VALUE"""),2.0)</f>
        <v>2</v>
      </c>
      <c r="O510" s="8"/>
      <c r="P510" s="8"/>
      <c r="Q510" s="8"/>
      <c r="R510" s="8"/>
      <c r="S510" s="8"/>
      <c r="T510" s="8"/>
      <c r="U510" s="8"/>
      <c r="V510" s="8"/>
      <c r="W510" s="8"/>
      <c r="X510" s="8"/>
      <c r="Y510" s="8"/>
      <c r="Z510" s="8"/>
    </row>
    <row r="511">
      <c r="A511" s="8">
        <f>IFERROR(__xludf.DUMMYFUNCTION("""COMPUTED_VALUE"""),852.0)</f>
        <v>852</v>
      </c>
      <c r="B511" s="8" t="str">
        <f>IFERROR(__xludf.DUMMYFUNCTION("""COMPUTED_VALUE"""),"tree")</f>
        <v>tree</v>
      </c>
      <c r="C511" s="8" t="str">
        <f>IFERROR(__xludf.DUMMYFUNCTION("""COMPUTED_VALUE"""),"graft")</f>
        <v>graft</v>
      </c>
      <c r="D511" s="55" t="str">
        <f>IFERROR(__xludf.DUMMYFUNCTION("""COMPUTED_VALUE"""),"Mangifera indica")</f>
        <v>Mangifera indica</v>
      </c>
      <c r="E511" s="8" t="str">
        <f>IFERROR(__xludf.DUMMYFUNCTION("""COMPUTED_VALUE"""),"Nam Doc Mai")</f>
        <v>Nam Doc Mai</v>
      </c>
      <c r="F511" s="8" t="str">
        <f>IFERROR(__xludf.DUMMYFUNCTION("""COMPUTED_VALUE"""),"Mango")</f>
        <v>Mango</v>
      </c>
      <c r="G511" s="8" t="str">
        <f>IFERROR(__xludf.DUMMYFUNCTION("""COMPUTED_VALUE"""),"mangue")</f>
        <v>mangue</v>
      </c>
      <c r="H511" s="8" t="str">
        <f>IFERROR(__xludf.DUMMYFUNCTION("""COMPUTED_VALUE"""),"Mango")</f>
        <v>Mango</v>
      </c>
      <c r="I511" s="8" t="str">
        <f>IFERROR(__xludf.DUMMYFUNCTION("""COMPUTED_VALUE"""),"217")</f>
        <v>217</v>
      </c>
      <c r="J511" s="8"/>
      <c r="K511" s="8">
        <f>IFERROR(__xludf.DUMMYFUNCTION("""COMPUTED_VALUE"""),9097.0)</f>
        <v>9097</v>
      </c>
      <c r="L511" s="8">
        <f>IFERROR(__xludf.DUMMYFUNCTION("""COMPUTED_VALUE"""),1.0)</f>
        <v>1</v>
      </c>
      <c r="M511" s="8">
        <f>IFERROR(__xludf.DUMMYFUNCTION("""COMPUTED_VALUE"""),2.0)</f>
        <v>2</v>
      </c>
      <c r="N511" s="8">
        <f>IFERROR(__xludf.DUMMYFUNCTION("""COMPUTED_VALUE"""),2.0)</f>
        <v>2</v>
      </c>
      <c r="O511" s="8"/>
      <c r="P511" s="8"/>
      <c r="Q511" s="8"/>
      <c r="R511" s="8"/>
      <c r="S511" s="8"/>
      <c r="T511" s="8"/>
      <c r="U511" s="8"/>
      <c r="V511" s="8"/>
      <c r="W511" s="8"/>
      <c r="X511" s="8"/>
      <c r="Y511" s="8"/>
      <c r="Z511" s="8"/>
    </row>
    <row r="512">
      <c r="A512" s="8">
        <f>IFERROR(__xludf.DUMMYFUNCTION("""COMPUTED_VALUE"""),853.0)</f>
        <v>853</v>
      </c>
      <c r="B512" s="8" t="str">
        <f>IFERROR(__xludf.DUMMYFUNCTION("""COMPUTED_VALUE"""),"tree")</f>
        <v>tree</v>
      </c>
      <c r="C512" s="8" t="str">
        <f>IFERROR(__xludf.DUMMYFUNCTION("""COMPUTED_VALUE"""),"graft")</f>
        <v>graft</v>
      </c>
      <c r="D512" s="8" t="str">
        <f>IFERROR(__xludf.DUMMYFUNCTION("""COMPUTED_VALUE"""),"Annona cherimola x A. reticulata")</f>
        <v>Annona cherimola x A. reticulata</v>
      </c>
      <c r="E512" s="8" t="str">
        <f>IFERROR(__xludf.DUMMYFUNCTION("""COMPUTED_VALUE"""),"Painter")</f>
        <v>Painter</v>
      </c>
      <c r="F512" s="8" t="str">
        <f>IFERROR(__xludf.DUMMYFUNCTION("""COMPUTED_VALUE"""),"Cherilata")</f>
        <v>Cherilata</v>
      </c>
      <c r="G512" s="8" t="str">
        <f>IFERROR(__xludf.DUMMYFUNCTION("""COMPUTED_VALUE"""),"Cherilata")</f>
        <v>Cherilata</v>
      </c>
      <c r="H512" s="8" t="str">
        <f>IFERROR(__xludf.DUMMYFUNCTION("""COMPUTED_VALUE"""),"graft")</f>
        <v>graft</v>
      </c>
      <c r="I512" s="8" t="str">
        <f>IFERROR(__xludf.DUMMYFUNCTION("""COMPUTED_VALUE"""),"125A")</f>
        <v>125A</v>
      </c>
      <c r="J512" s="8"/>
      <c r="K512" s="8">
        <f>IFERROR(__xludf.DUMMYFUNCTION("""COMPUTED_VALUE"""),9171.0)</f>
        <v>9171</v>
      </c>
      <c r="L512" s="8" t="str">
        <f>IFERROR(__xludf.DUMMYFUNCTION("""COMPUTED_VALUE"""),"multiple")</f>
        <v>multiple</v>
      </c>
      <c r="M512" s="8">
        <f>IFERROR(__xludf.DUMMYFUNCTION("""COMPUTED_VALUE"""),3.0)</f>
        <v>3</v>
      </c>
      <c r="N512" s="8">
        <f>IFERROR(__xludf.DUMMYFUNCTION("""COMPUTED_VALUE"""),3.0)</f>
        <v>3</v>
      </c>
      <c r="O512" s="8"/>
      <c r="P512" s="8"/>
      <c r="Q512" s="8"/>
      <c r="R512" s="8"/>
      <c r="S512" s="8"/>
      <c r="T512" s="8"/>
      <c r="U512" s="8"/>
      <c r="V512" s="8"/>
      <c r="W512" s="8"/>
      <c r="X512" s="8"/>
      <c r="Y512" s="8"/>
      <c r="Z512" s="8"/>
    </row>
    <row r="513">
      <c r="A513" s="8">
        <f>IFERROR(__xludf.DUMMYFUNCTION("""COMPUTED_VALUE"""),854.0)</f>
        <v>854</v>
      </c>
      <c r="B513" s="8" t="str">
        <f>IFERROR(__xludf.DUMMYFUNCTION("""COMPUTED_VALUE"""),"tree")</f>
        <v>tree</v>
      </c>
      <c r="C513" s="8" t="str">
        <f>IFERROR(__xludf.DUMMYFUNCTION("""COMPUTED_VALUE"""),"graft")</f>
        <v>graft</v>
      </c>
      <c r="D513" s="55" t="str">
        <f>IFERROR(__xludf.DUMMYFUNCTION("""COMPUTED_VALUE"""),"Averrhoa bilimbi")</f>
        <v>Averrhoa bilimbi</v>
      </c>
      <c r="E513" s="8" t="str">
        <f>IFERROR(__xludf.DUMMYFUNCTION("""COMPUTED_VALUE"""),"Seedling")</f>
        <v>Seedling</v>
      </c>
      <c r="F513" s="8" t="str">
        <f>IFERROR(__xludf.DUMMYFUNCTION("""COMPUTED_VALUE"""),"Bilimbi")</f>
        <v>Bilimbi</v>
      </c>
      <c r="G513" s="8" t="str">
        <f>IFERROR(__xludf.DUMMYFUNCTION("""COMPUTED_VALUE"""),"Bilimbi")</f>
        <v>Bilimbi</v>
      </c>
      <c r="H513" s="8" t="str">
        <f>IFERROR(__xludf.DUMMYFUNCTION("""COMPUTED_VALUE"""),"Bilimbi")</f>
        <v>Bilimbi</v>
      </c>
      <c r="I513" s="8" t="str">
        <f>IFERROR(__xludf.DUMMYFUNCTION("""COMPUTED_VALUE"""),"030")</f>
        <v>030</v>
      </c>
      <c r="J513" s="8"/>
      <c r="K513" s="8">
        <f>IFERROR(__xludf.DUMMYFUNCTION("""COMPUTED_VALUE"""),9172.0)</f>
        <v>9172</v>
      </c>
      <c r="L513" s="8" t="str">
        <f>IFERROR(__xludf.DUMMYFUNCTION("""COMPUTED_VALUE"""),"multiple")</f>
        <v>multiple</v>
      </c>
      <c r="M513" s="8">
        <f>IFERROR(__xludf.DUMMYFUNCTION("""COMPUTED_VALUE"""),1.0)</f>
        <v>1</v>
      </c>
      <c r="N513" s="8">
        <f>IFERROR(__xludf.DUMMYFUNCTION("""COMPUTED_VALUE"""),1.0)</f>
        <v>1</v>
      </c>
      <c r="O513" s="8"/>
      <c r="P513" s="8"/>
      <c r="Q513" s="8"/>
      <c r="R513" s="8"/>
      <c r="S513" s="8"/>
      <c r="T513" s="8"/>
      <c r="U513" s="8"/>
      <c r="V513" s="8"/>
      <c r="W513" s="8"/>
      <c r="X513" s="8"/>
      <c r="Y513" s="8"/>
      <c r="Z513" s="8"/>
    </row>
    <row r="514">
      <c r="A514" s="8">
        <f>IFERROR(__xludf.DUMMYFUNCTION("""COMPUTED_VALUE"""),855.0)</f>
        <v>855</v>
      </c>
      <c r="B514" s="8" t="str">
        <f>IFERROR(__xludf.DUMMYFUNCTION("""COMPUTED_VALUE"""),"tree")</f>
        <v>tree</v>
      </c>
      <c r="C514" s="8" t="str">
        <f>IFERROR(__xludf.DUMMYFUNCTION("""COMPUTED_VALUE"""),"cutting, graft")</f>
        <v>cutting, graft</v>
      </c>
      <c r="D514" s="55" t="str">
        <f>IFERROR(__xludf.DUMMYFUNCTION("""COMPUTED_VALUE"""),"Ficus carica")</f>
        <v>Ficus carica</v>
      </c>
      <c r="E514" s="8" t="str">
        <f>IFERROR(__xludf.DUMMYFUNCTION("""COMPUTED_VALUE"""),"Brown Turkey")</f>
        <v>Brown Turkey</v>
      </c>
      <c r="F514" s="8" t="str">
        <f>IFERROR(__xludf.DUMMYFUNCTION("""COMPUTED_VALUE"""),"Fig")</f>
        <v>Fig</v>
      </c>
      <c r="G514" s="8" t="str">
        <f>IFERROR(__xludf.DUMMYFUNCTION("""COMPUTED_VALUE"""),"figue")</f>
        <v>figue</v>
      </c>
      <c r="H514" s="8" t="str">
        <f>IFERROR(__xludf.DUMMYFUNCTION("""COMPUTED_VALUE"""),"Fig")</f>
        <v>Fig</v>
      </c>
      <c r="I514" s="8" t="str">
        <f>IFERROR(__xludf.DUMMYFUNCTION("""COMPUTED_VALUE"""),"133A")</f>
        <v>133A</v>
      </c>
      <c r="J514" s="8"/>
      <c r="K514" s="8">
        <f>IFERROR(__xludf.DUMMYFUNCTION("""COMPUTED_VALUE"""),9173.0)</f>
        <v>9173</v>
      </c>
      <c r="L514" s="8" t="str">
        <f>IFERROR(__xludf.DUMMYFUNCTION("""COMPUTED_VALUE"""),"multiple")</f>
        <v>multiple</v>
      </c>
      <c r="M514" s="8">
        <f>IFERROR(__xludf.DUMMYFUNCTION("""COMPUTED_VALUE"""),1.0)</f>
        <v>1</v>
      </c>
      <c r="N514" s="8">
        <f>IFERROR(__xludf.DUMMYFUNCTION("""COMPUTED_VALUE"""),1.0)</f>
        <v>1</v>
      </c>
      <c r="O514" s="8"/>
      <c r="P514" s="8"/>
      <c r="Q514" s="8"/>
      <c r="R514" s="8"/>
      <c r="S514" s="8"/>
      <c r="T514" s="8"/>
      <c r="U514" s="8"/>
      <c r="V514" s="8"/>
      <c r="W514" s="8"/>
      <c r="X514" s="8"/>
      <c r="Y514" s="8"/>
      <c r="Z514" s="8"/>
    </row>
    <row r="515">
      <c r="A515" s="8">
        <f>IFERROR(__xludf.DUMMYFUNCTION("""COMPUTED_VALUE"""),856.0)</f>
        <v>856</v>
      </c>
      <c r="B515" s="8" t="str">
        <f>IFERROR(__xludf.DUMMYFUNCTION("""COMPUTED_VALUE"""),"tree")</f>
        <v>tree</v>
      </c>
      <c r="C515" s="8" t="str">
        <f>IFERROR(__xludf.DUMMYFUNCTION("""COMPUTED_VALUE"""),"cutting, graft")</f>
        <v>cutting, graft</v>
      </c>
      <c r="D515" s="55" t="str">
        <f>IFERROR(__xludf.DUMMYFUNCTION("""COMPUTED_VALUE"""),"Morus sp.")</f>
        <v>Morus sp.</v>
      </c>
      <c r="E515" s="8" t="str">
        <f>IFERROR(__xludf.DUMMYFUNCTION("""COMPUTED_VALUE"""),"Pakistan")</f>
        <v>Pakistan</v>
      </c>
      <c r="F515" s="8" t="str">
        <f>IFERROR(__xludf.DUMMYFUNCTION("""COMPUTED_VALUE"""),"Mulberry")</f>
        <v>Mulberry</v>
      </c>
      <c r="G515" s="8" t="str">
        <f>IFERROR(__xludf.DUMMYFUNCTION("""COMPUTED_VALUE"""),"Mûre")</f>
        <v>Mûre</v>
      </c>
      <c r="H515" s="8" t="str">
        <f>IFERROR(__xludf.DUMMYFUNCTION("""COMPUTED_VALUE"""),"Mulberry")</f>
        <v>Mulberry</v>
      </c>
      <c r="I515" s="8" t="str">
        <f>IFERROR(__xludf.DUMMYFUNCTION("""COMPUTED_VALUE"""),"188")</f>
        <v>188</v>
      </c>
      <c r="J515" s="8"/>
      <c r="K515" s="8">
        <f>IFERROR(__xludf.DUMMYFUNCTION("""COMPUTED_VALUE"""),9088.0)</f>
        <v>9088</v>
      </c>
      <c r="L515" s="8" t="str">
        <f>IFERROR(__xludf.DUMMYFUNCTION("""COMPUTED_VALUE"""),"multiple")</f>
        <v>multiple</v>
      </c>
      <c r="M515" s="8">
        <f>IFERROR(__xludf.DUMMYFUNCTION("""COMPUTED_VALUE"""),1.0)</f>
        <v>1</v>
      </c>
      <c r="N515" s="8">
        <f>IFERROR(__xludf.DUMMYFUNCTION("""COMPUTED_VALUE"""),1.0)</f>
        <v>1</v>
      </c>
      <c r="O515" s="8"/>
      <c r="P515" s="8"/>
      <c r="Q515" s="8"/>
      <c r="R515" s="8"/>
      <c r="S515" s="8"/>
      <c r="T515" s="8"/>
      <c r="U515" s="8"/>
      <c r="V515" s="8"/>
      <c r="W515" s="8"/>
      <c r="X515" s="8"/>
      <c r="Y515" s="8"/>
      <c r="Z515" s="8"/>
    </row>
    <row r="516">
      <c r="A516" s="8">
        <f>IFERROR(__xludf.DUMMYFUNCTION("""COMPUTED_VALUE"""),857.0)</f>
        <v>857</v>
      </c>
      <c r="B516" s="8" t="str">
        <f>IFERROR(__xludf.DUMMYFUNCTION("""COMPUTED_VALUE"""),"tree")</f>
        <v>tree</v>
      </c>
      <c r="C516" s="8" t="str">
        <f>IFERROR(__xludf.DUMMYFUNCTION("""COMPUTED_VALUE"""),"cutting, graft")</f>
        <v>cutting, graft</v>
      </c>
      <c r="D516" s="55" t="str">
        <f>IFERROR(__xludf.DUMMYFUNCTION("""COMPUTED_VALUE"""),"Morus sp.")</f>
        <v>Morus sp.</v>
      </c>
      <c r="E516" s="8" t="str">
        <f>IFERROR(__xludf.DUMMYFUNCTION("""COMPUTED_VALUE"""),"Estero")</f>
        <v>Estero</v>
      </c>
      <c r="F516" s="8" t="str">
        <f>IFERROR(__xludf.DUMMYFUNCTION("""COMPUTED_VALUE"""),"Mulberry")</f>
        <v>Mulberry</v>
      </c>
      <c r="G516" s="8" t="str">
        <f>IFERROR(__xludf.DUMMYFUNCTION("""COMPUTED_VALUE"""),"Mûre")</f>
        <v>Mûre</v>
      </c>
      <c r="H516" s="8" t="str">
        <f>IFERROR(__xludf.DUMMYFUNCTION("""COMPUTED_VALUE"""),"Mulberry")</f>
        <v>Mulberry</v>
      </c>
      <c r="I516" s="8" t="str">
        <f>IFERROR(__xludf.DUMMYFUNCTION("""COMPUTED_VALUE"""),"189")</f>
        <v>189</v>
      </c>
      <c r="J516" s="8"/>
      <c r="K516" s="8">
        <f>IFERROR(__xludf.DUMMYFUNCTION("""COMPUTED_VALUE"""),9033.0)</f>
        <v>9033</v>
      </c>
      <c r="L516" s="8" t="str">
        <f>IFERROR(__xludf.DUMMYFUNCTION("""COMPUTED_VALUE"""),"multiple")</f>
        <v>multiple</v>
      </c>
      <c r="M516" s="8">
        <f>IFERROR(__xludf.DUMMYFUNCTION("""COMPUTED_VALUE"""),1.0)</f>
        <v>1</v>
      </c>
      <c r="N516" s="8">
        <f>IFERROR(__xludf.DUMMYFUNCTION("""COMPUTED_VALUE"""),1.0)</f>
        <v>1</v>
      </c>
      <c r="O516" s="8"/>
      <c r="P516" s="8"/>
      <c r="Q516" s="8"/>
      <c r="R516" s="8"/>
      <c r="S516" s="8"/>
      <c r="T516" s="8"/>
      <c r="U516" s="8"/>
      <c r="V516" s="8"/>
      <c r="W516" s="8"/>
      <c r="X516" s="8"/>
      <c r="Y516" s="8"/>
      <c r="Z516" s="8"/>
    </row>
    <row r="517">
      <c r="A517" s="8">
        <f>IFERROR(__xludf.DUMMYFUNCTION("""COMPUTED_VALUE"""),858.0)</f>
        <v>858</v>
      </c>
      <c r="B517" s="8" t="str">
        <f>IFERROR(__xludf.DUMMYFUNCTION("""COMPUTED_VALUE"""),"tree")</f>
        <v>tree</v>
      </c>
      <c r="C517" s="8" t="str">
        <f>IFERROR(__xludf.DUMMYFUNCTION("""COMPUTED_VALUE"""),"graft")</f>
        <v>graft</v>
      </c>
      <c r="D517" s="55" t="str">
        <f>IFERROR(__xludf.DUMMYFUNCTION("""COMPUTED_VALUE"""),"Persea americana")</f>
        <v>Persea americana</v>
      </c>
      <c r="E517" s="55" t="str">
        <f>IFERROR(__xludf.DUMMYFUNCTION("""COMPUTED_VALUE"""),"Lara #1")</f>
        <v>Lara #1</v>
      </c>
      <c r="F517" s="8" t="str">
        <f>IFERROR(__xludf.DUMMYFUNCTION("""COMPUTED_VALUE"""),"Avocado")</f>
        <v>Avocado</v>
      </c>
      <c r="G517" s="8" t="str">
        <f>IFERROR(__xludf.DUMMYFUNCTION("""COMPUTED_VALUE"""),"Avocat")</f>
        <v>Avocat</v>
      </c>
      <c r="H517" s="8" t="str">
        <f>IFERROR(__xludf.DUMMYFUNCTION("""COMPUTED_VALUE"""),"Avocado")</f>
        <v>Avocado</v>
      </c>
      <c r="I517" s="8"/>
      <c r="J517" s="8"/>
      <c r="K517" s="8">
        <f>IFERROR(__xludf.DUMMYFUNCTION("""COMPUTED_VALUE"""),9082.0)</f>
        <v>9082</v>
      </c>
      <c r="L517" s="8">
        <f>IFERROR(__xludf.DUMMYFUNCTION("""COMPUTED_VALUE"""),1.0)</f>
        <v>1</v>
      </c>
      <c r="M517" s="8">
        <f>IFERROR(__xludf.DUMMYFUNCTION("""COMPUTED_VALUE"""),0.0)</f>
        <v>0</v>
      </c>
      <c r="N517" s="8">
        <f>IFERROR(__xludf.DUMMYFUNCTION("""COMPUTED_VALUE"""),0.0)</f>
        <v>0</v>
      </c>
      <c r="O517" s="8"/>
      <c r="P517" s="8"/>
      <c r="Q517" s="8"/>
      <c r="R517" s="8"/>
      <c r="S517" s="8"/>
      <c r="T517" s="8"/>
      <c r="U517" s="8"/>
      <c r="V517" s="8"/>
      <c r="W517" s="8"/>
      <c r="X517" s="8"/>
      <c r="Y517" s="8"/>
      <c r="Z517" s="8"/>
    </row>
    <row r="518">
      <c r="A518" s="8">
        <f>IFERROR(__xludf.DUMMYFUNCTION("""COMPUTED_VALUE"""),859.0)</f>
        <v>859</v>
      </c>
      <c r="B518" s="8" t="str">
        <f>IFERROR(__xludf.DUMMYFUNCTION("""COMPUTED_VALUE"""),"tree")</f>
        <v>tree</v>
      </c>
      <c r="C518" s="8" t="str">
        <f>IFERROR(__xludf.DUMMYFUNCTION("""COMPUTED_VALUE"""),"graft")</f>
        <v>graft</v>
      </c>
      <c r="D518" s="55" t="str">
        <f>IFERROR(__xludf.DUMMYFUNCTION("""COMPUTED_VALUE"""),"Persea americana")</f>
        <v>Persea americana</v>
      </c>
      <c r="E518" s="8" t="str">
        <f>IFERROR(__xludf.DUMMYFUNCTION("""COMPUTED_VALUE"""),"Miguel")</f>
        <v>Miguel</v>
      </c>
      <c r="F518" s="8" t="str">
        <f>IFERROR(__xludf.DUMMYFUNCTION("""COMPUTED_VALUE"""),"Avocado")</f>
        <v>Avocado</v>
      </c>
      <c r="G518" s="8" t="str">
        <f>IFERROR(__xludf.DUMMYFUNCTION("""COMPUTED_VALUE"""),"Avocat")</f>
        <v>Avocat</v>
      </c>
      <c r="H518" s="8" t="str">
        <f>IFERROR(__xludf.DUMMYFUNCTION("""COMPUTED_VALUE"""),"Avocado")</f>
        <v>Avocado</v>
      </c>
      <c r="I518" s="8"/>
      <c r="J518" s="8"/>
      <c r="K518" s="8">
        <f>IFERROR(__xludf.DUMMYFUNCTION("""COMPUTED_VALUE"""),9192.0)</f>
        <v>9192</v>
      </c>
      <c r="L518" s="8">
        <f>IFERROR(__xludf.DUMMYFUNCTION("""COMPUTED_VALUE"""),1.0)</f>
        <v>1</v>
      </c>
      <c r="M518" s="8">
        <f>IFERROR(__xludf.DUMMYFUNCTION("""COMPUTED_VALUE"""),1.0)</f>
        <v>1</v>
      </c>
      <c r="N518" s="8">
        <f>IFERROR(__xludf.DUMMYFUNCTION("""COMPUTED_VALUE"""),1.0)</f>
        <v>1</v>
      </c>
      <c r="O518" s="8"/>
      <c r="P518" s="8"/>
      <c r="Q518" s="8"/>
      <c r="R518" s="8"/>
      <c r="S518" s="8"/>
      <c r="T518" s="8"/>
      <c r="U518" s="8"/>
      <c r="V518" s="8"/>
      <c r="W518" s="8"/>
      <c r="X518" s="8"/>
      <c r="Y518" s="8"/>
      <c r="Z518" s="8"/>
    </row>
    <row r="519">
      <c r="A519" s="8">
        <f>IFERROR(__xludf.DUMMYFUNCTION("""COMPUTED_VALUE"""),860.0)</f>
        <v>860</v>
      </c>
      <c r="B519" s="8" t="str">
        <f>IFERROR(__xludf.DUMMYFUNCTION("""COMPUTED_VALUE"""),"tree")</f>
        <v>tree</v>
      </c>
      <c r="C519" s="8" t="str">
        <f>IFERROR(__xludf.DUMMYFUNCTION("""COMPUTED_VALUE"""),"graft")</f>
        <v>graft</v>
      </c>
      <c r="D519" s="55" t="str">
        <f>IFERROR(__xludf.DUMMYFUNCTION("""COMPUTED_VALUE"""),"Persea americana")</f>
        <v>Persea americana</v>
      </c>
      <c r="E519" s="8" t="str">
        <f>IFERROR(__xludf.DUMMYFUNCTION("""COMPUTED_VALUE"""),"Doni")</f>
        <v>Doni</v>
      </c>
      <c r="F519" s="8" t="str">
        <f>IFERROR(__xludf.DUMMYFUNCTION("""COMPUTED_VALUE"""),"Avocado")</f>
        <v>Avocado</v>
      </c>
      <c r="G519" s="8" t="str">
        <f>IFERROR(__xludf.DUMMYFUNCTION("""COMPUTED_VALUE"""),"Avocat")</f>
        <v>Avocat</v>
      </c>
      <c r="H519" s="8" t="str">
        <f>IFERROR(__xludf.DUMMYFUNCTION("""COMPUTED_VALUE"""),"Avocado")</f>
        <v>Avocado</v>
      </c>
      <c r="I519" s="8"/>
      <c r="J519" s="8"/>
      <c r="K519" s="8">
        <f>IFERROR(__xludf.DUMMYFUNCTION("""COMPUTED_VALUE"""),9040.0)</f>
        <v>9040</v>
      </c>
      <c r="L519" s="8">
        <f>IFERROR(__xludf.DUMMYFUNCTION("""COMPUTED_VALUE"""),1.0)</f>
        <v>1</v>
      </c>
      <c r="M519" s="8">
        <f>IFERROR(__xludf.DUMMYFUNCTION("""COMPUTED_VALUE"""),1.0)</f>
        <v>1</v>
      </c>
      <c r="N519" s="8">
        <f>IFERROR(__xludf.DUMMYFUNCTION("""COMPUTED_VALUE"""),2.0)</f>
        <v>2</v>
      </c>
      <c r="O519" s="8"/>
      <c r="P519" s="8"/>
      <c r="Q519" s="8"/>
      <c r="R519" s="8"/>
      <c r="S519" s="8"/>
      <c r="T519" s="8"/>
      <c r="U519" s="8"/>
      <c r="V519" s="8"/>
      <c r="W519" s="8"/>
      <c r="X519" s="8"/>
      <c r="Y519" s="8"/>
      <c r="Z519" s="8"/>
    </row>
    <row r="520">
      <c r="A520" s="8">
        <f>IFERROR(__xludf.DUMMYFUNCTION("""COMPUTED_VALUE"""),861.0)</f>
        <v>861</v>
      </c>
      <c r="B520" s="8" t="str">
        <f>IFERROR(__xludf.DUMMYFUNCTION("""COMPUTED_VALUE"""),"tree")</f>
        <v>tree</v>
      </c>
      <c r="C520" s="8" t="str">
        <f>IFERROR(__xludf.DUMMYFUNCTION("""COMPUTED_VALUE"""),"graft")</f>
        <v>graft</v>
      </c>
      <c r="D520" s="55" t="str">
        <f>IFERROR(__xludf.DUMMYFUNCTION("""COMPUTED_VALUE"""),"Ziziphus jujuba")</f>
        <v>Ziziphus jujuba</v>
      </c>
      <c r="E520" s="8" t="str">
        <f>IFERROR(__xludf.DUMMYFUNCTION("""COMPUTED_VALUE"""),"Thai Giant")</f>
        <v>Thai Giant</v>
      </c>
      <c r="F520" s="8" t="str">
        <f>IFERROR(__xludf.DUMMYFUNCTION("""COMPUTED_VALUE"""),"Jujube")</f>
        <v>Jujube</v>
      </c>
      <c r="G520" s="8" t="str">
        <f>IFERROR(__xludf.DUMMYFUNCTION("""COMPUTED_VALUE"""),"Jujube")</f>
        <v>Jujube</v>
      </c>
      <c r="H520" s="8" t="str">
        <f>IFERROR(__xludf.DUMMYFUNCTION("""COMPUTED_VALUE"""),"Jujube")</f>
        <v>Jujube</v>
      </c>
      <c r="I520" s="8" t="str">
        <f>IFERROR(__xludf.DUMMYFUNCTION("""COMPUTED_VALUE"""),"064")</f>
        <v>064</v>
      </c>
      <c r="J520" s="8"/>
      <c r="K520" s="8">
        <f>IFERROR(__xludf.DUMMYFUNCTION("""COMPUTED_VALUE"""),9177.0)</f>
        <v>9177</v>
      </c>
      <c r="L520" s="8">
        <f>IFERROR(__xludf.DUMMYFUNCTION("""COMPUTED_VALUE"""),1.0)</f>
        <v>1</v>
      </c>
      <c r="M520" s="8">
        <f>IFERROR(__xludf.DUMMYFUNCTION("""COMPUTED_VALUE"""),3.0)</f>
        <v>3</v>
      </c>
      <c r="N520" s="8">
        <f>IFERROR(__xludf.DUMMYFUNCTION("""COMPUTED_VALUE"""),3.0)</f>
        <v>3</v>
      </c>
      <c r="O520" s="8"/>
      <c r="P520" s="8"/>
      <c r="Q520" s="8"/>
      <c r="R520" s="8"/>
      <c r="S520" s="8"/>
      <c r="T520" s="8"/>
      <c r="U520" s="8"/>
      <c r="V520" s="8"/>
      <c r="W520" s="8"/>
      <c r="X520" s="8"/>
      <c r="Y520" s="8"/>
      <c r="Z520" s="8"/>
    </row>
    <row r="521">
      <c r="A521" s="8">
        <f>IFERROR(__xludf.DUMMYFUNCTION("""COMPUTED_VALUE"""),862.0)</f>
        <v>862</v>
      </c>
      <c r="B521" s="8" t="str">
        <f>IFERROR(__xludf.DUMMYFUNCTION("""COMPUTED_VALUE"""),"tree")</f>
        <v>tree</v>
      </c>
      <c r="C521" s="8" t="str">
        <f>IFERROR(__xludf.DUMMYFUNCTION("""COMPUTED_VALUE"""),"graft")</f>
        <v>graft</v>
      </c>
      <c r="D521" s="55" t="str">
        <f>IFERROR(__xludf.DUMMYFUNCTION("""COMPUTED_VALUE"""),"Persea americana")</f>
        <v>Persea americana</v>
      </c>
      <c r="E521" s="8" t="str">
        <f>IFERROR(__xludf.DUMMYFUNCTION("""COMPUTED_VALUE"""),"Ronnie")</f>
        <v>Ronnie</v>
      </c>
      <c r="F521" s="8" t="str">
        <f>IFERROR(__xludf.DUMMYFUNCTION("""COMPUTED_VALUE"""),"Avocado")</f>
        <v>Avocado</v>
      </c>
      <c r="G521" s="8" t="str">
        <f>IFERROR(__xludf.DUMMYFUNCTION("""COMPUTED_VALUE"""),"Avocat")</f>
        <v>Avocat</v>
      </c>
      <c r="H521" s="8" t="str">
        <f>IFERROR(__xludf.DUMMYFUNCTION("""COMPUTED_VALUE"""),"Avocado")</f>
        <v>Avocado</v>
      </c>
      <c r="I521" s="8" t="str">
        <f>IFERROR(__xludf.DUMMYFUNCTION("""COMPUTED_VALUE"""),"077")</f>
        <v>077</v>
      </c>
      <c r="J521" s="8"/>
      <c r="K521" s="8">
        <f>IFERROR(__xludf.DUMMYFUNCTION("""COMPUTED_VALUE"""),9197.0)</f>
        <v>9197</v>
      </c>
      <c r="L521" s="8">
        <f>IFERROR(__xludf.DUMMYFUNCTION("""COMPUTED_VALUE"""),1.0)</f>
        <v>1</v>
      </c>
      <c r="M521" s="8">
        <f>IFERROR(__xludf.DUMMYFUNCTION("""COMPUTED_VALUE"""),1.0)</f>
        <v>1</v>
      </c>
      <c r="N521" s="8">
        <f>IFERROR(__xludf.DUMMYFUNCTION("""COMPUTED_VALUE"""),2.0)</f>
        <v>2</v>
      </c>
      <c r="O521" s="8"/>
      <c r="P521" s="8"/>
      <c r="Q521" s="8"/>
      <c r="R521" s="8"/>
      <c r="S521" s="8"/>
      <c r="T521" s="8"/>
      <c r="U521" s="8"/>
      <c r="V521" s="8"/>
      <c r="W521" s="8"/>
      <c r="X521" s="8"/>
      <c r="Y521" s="8"/>
      <c r="Z521" s="8"/>
    </row>
    <row r="522">
      <c r="A522" s="8">
        <f>IFERROR(__xludf.DUMMYFUNCTION("""COMPUTED_VALUE"""),863.0)</f>
        <v>863</v>
      </c>
      <c r="B522" s="8" t="str">
        <f>IFERROR(__xludf.DUMMYFUNCTION("""COMPUTED_VALUE"""),"tree")</f>
        <v>tree</v>
      </c>
      <c r="C522" s="8" t="str">
        <f>IFERROR(__xludf.DUMMYFUNCTION("""COMPUTED_VALUE"""),"graft")</f>
        <v>graft</v>
      </c>
      <c r="D522" s="55" t="str">
        <f>IFERROR(__xludf.DUMMYFUNCTION("""COMPUTED_VALUE"""),"Persea americana")</f>
        <v>Persea americana</v>
      </c>
      <c r="E522" s="8" t="str">
        <f>IFERROR(__xludf.DUMMYFUNCTION("""COMPUTED_VALUE"""),"Thompson Red")</f>
        <v>Thompson Red</v>
      </c>
      <c r="F522" s="8" t="str">
        <f>IFERROR(__xludf.DUMMYFUNCTION("""COMPUTED_VALUE"""),"Avocado")</f>
        <v>Avocado</v>
      </c>
      <c r="G522" s="8" t="str">
        <f>IFERROR(__xludf.DUMMYFUNCTION("""COMPUTED_VALUE"""),"Avocat")</f>
        <v>Avocat</v>
      </c>
      <c r="H522" s="8" t="str">
        <f>IFERROR(__xludf.DUMMYFUNCTION("""COMPUTED_VALUE"""),"Avocado")</f>
        <v>Avocado</v>
      </c>
      <c r="I522" s="8"/>
      <c r="J522" s="8"/>
      <c r="K522" s="8">
        <f>IFERROR(__xludf.DUMMYFUNCTION("""COMPUTED_VALUE"""),9057.0)</f>
        <v>9057</v>
      </c>
      <c r="L522" s="8">
        <f>IFERROR(__xludf.DUMMYFUNCTION("""COMPUTED_VALUE"""),1.0)</f>
        <v>1</v>
      </c>
      <c r="M522" s="8">
        <f>IFERROR(__xludf.DUMMYFUNCTION("""COMPUTED_VALUE"""),0.0)</f>
        <v>0</v>
      </c>
      <c r="N522" s="8">
        <f>IFERROR(__xludf.DUMMYFUNCTION("""COMPUTED_VALUE"""),0.0)</f>
        <v>0</v>
      </c>
      <c r="O522" s="8"/>
      <c r="P522" s="8"/>
      <c r="Q522" s="8"/>
      <c r="R522" s="8"/>
      <c r="S522" s="8"/>
      <c r="T522" s="8"/>
      <c r="U522" s="8"/>
      <c r="V522" s="8"/>
      <c r="W522" s="8"/>
      <c r="X522" s="8"/>
      <c r="Y522" s="8"/>
      <c r="Z522" s="8"/>
    </row>
    <row r="523">
      <c r="A523" s="8">
        <f>IFERROR(__xludf.DUMMYFUNCTION("""COMPUTED_VALUE"""),864.0)</f>
        <v>864</v>
      </c>
      <c r="B523" s="8" t="str">
        <f>IFERROR(__xludf.DUMMYFUNCTION("""COMPUTED_VALUE"""),"tree")</f>
        <v>tree</v>
      </c>
      <c r="C523" s="8" t="str">
        <f>IFERROR(__xludf.DUMMYFUNCTION("""COMPUTED_VALUE"""),"graft")</f>
        <v>graft</v>
      </c>
      <c r="D523" s="55" t="str">
        <f>IFERROR(__xludf.DUMMYFUNCTION("""COMPUTED_VALUE"""),"Persea americana")</f>
        <v>Persea americana</v>
      </c>
      <c r="E523" s="8" t="str">
        <f>IFERROR(__xludf.DUMMYFUNCTION("""COMPUTED_VALUE"""),"Miguel")</f>
        <v>Miguel</v>
      </c>
      <c r="F523" s="8" t="str">
        <f>IFERROR(__xludf.DUMMYFUNCTION("""COMPUTED_VALUE"""),"Avocado")</f>
        <v>Avocado</v>
      </c>
      <c r="G523" s="8" t="str">
        <f>IFERROR(__xludf.DUMMYFUNCTION("""COMPUTED_VALUE"""),"Avocat")</f>
        <v>Avocat</v>
      </c>
      <c r="H523" s="8" t="str">
        <f>IFERROR(__xludf.DUMMYFUNCTION("""COMPUTED_VALUE"""),"Avocado")</f>
        <v>Avocado</v>
      </c>
      <c r="I523" s="8" t="str">
        <f>IFERROR(__xludf.DUMMYFUNCTION("""COMPUTED_VALUE"""),"130A")</f>
        <v>130A</v>
      </c>
      <c r="J523" s="8"/>
      <c r="K523" s="8">
        <f>IFERROR(__xludf.DUMMYFUNCTION("""COMPUTED_VALUE"""),9193.0)</f>
        <v>9193</v>
      </c>
      <c r="L523" s="8">
        <f>IFERROR(__xludf.DUMMYFUNCTION("""COMPUTED_VALUE"""),1.0)</f>
        <v>1</v>
      </c>
      <c r="M523" s="8">
        <f>IFERROR(__xludf.DUMMYFUNCTION("""COMPUTED_VALUE"""),1.0)</f>
        <v>1</v>
      </c>
      <c r="N523" s="8">
        <f>IFERROR(__xludf.DUMMYFUNCTION("""COMPUTED_VALUE"""),1.0)</f>
        <v>1</v>
      </c>
      <c r="O523" s="8"/>
      <c r="P523" s="8"/>
      <c r="Q523" s="8"/>
      <c r="R523" s="8"/>
      <c r="S523" s="8"/>
      <c r="T523" s="8"/>
      <c r="U523" s="8"/>
      <c r="V523" s="8"/>
      <c r="W523" s="8"/>
      <c r="X523" s="8"/>
      <c r="Y523" s="8"/>
      <c r="Z523" s="8"/>
    </row>
    <row r="524">
      <c r="A524" s="8">
        <f>IFERROR(__xludf.DUMMYFUNCTION("""COMPUTED_VALUE"""),865.0)</f>
        <v>865</v>
      </c>
      <c r="B524" s="8" t="str">
        <f>IFERROR(__xludf.DUMMYFUNCTION("""COMPUTED_VALUE"""),"tree")</f>
        <v>tree</v>
      </c>
      <c r="C524" s="8" t="str">
        <f>IFERROR(__xludf.DUMMYFUNCTION("""COMPUTED_VALUE"""),"graft")</f>
        <v>graft</v>
      </c>
      <c r="D524" s="55" t="str">
        <f>IFERROR(__xludf.DUMMYFUNCTION("""COMPUTED_VALUE"""),"Artocarpus heterophyllus")</f>
        <v>Artocarpus heterophyllus</v>
      </c>
      <c r="E524" s="8" t="str">
        <f>IFERROR(__xludf.DUMMYFUNCTION("""COMPUTED_VALUE"""),"Super Thai Seedling")</f>
        <v>Super Thai Seedling</v>
      </c>
      <c r="F524" s="8" t="str">
        <f>IFERROR(__xludf.DUMMYFUNCTION("""COMPUTED_VALUE"""),"Jackfruit")</f>
        <v>Jackfruit</v>
      </c>
      <c r="G524" s="8" t="str">
        <f>IFERROR(__xludf.DUMMYFUNCTION("""COMPUTED_VALUE"""),"Jacquier")</f>
        <v>Jacquier</v>
      </c>
      <c r="H524" s="8" t="str">
        <f>IFERROR(__xludf.DUMMYFUNCTION("""COMPUTED_VALUE"""),"seed")</f>
        <v>seed</v>
      </c>
      <c r="I524" s="8"/>
      <c r="J524" s="8"/>
      <c r="K524" s="8">
        <f>IFERROR(__xludf.DUMMYFUNCTION("""COMPUTED_VALUE"""),9028.0)</f>
        <v>9028</v>
      </c>
      <c r="L524" s="8" t="str">
        <f>IFERROR(__xludf.DUMMYFUNCTION("""COMPUTED_VALUE"""),"multiple")</f>
        <v>multiple</v>
      </c>
      <c r="M524" s="8">
        <f>IFERROR(__xludf.DUMMYFUNCTION("""COMPUTED_VALUE"""),0.0)</f>
        <v>0</v>
      </c>
      <c r="N524" s="8">
        <f>IFERROR(__xludf.DUMMYFUNCTION("""COMPUTED_VALUE"""),0.0)</f>
        <v>0</v>
      </c>
      <c r="O524" s="8"/>
      <c r="P524" s="8"/>
      <c r="Q524" s="8"/>
      <c r="R524" s="8"/>
      <c r="S524" s="8"/>
      <c r="T524" s="8"/>
      <c r="U524" s="8"/>
      <c r="V524" s="8"/>
      <c r="W524" s="8"/>
      <c r="X524" s="8"/>
      <c r="Y524" s="8"/>
      <c r="Z524" s="8"/>
    </row>
    <row r="525">
      <c r="A525" s="8">
        <f>IFERROR(__xludf.DUMMYFUNCTION("""COMPUTED_VALUE"""),866.0)</f>
        <v>866</v>
      </c>
      <c r="B525" s="8" t="str">
        <f>IFERROR(__xludf.DUMMYFUNCTION("""COMPUTED_VALUE"""),"tree")</f>
        <v>tree</v>
      </c>
      <c r="C525" s="8" t="str">
        <f>IFERROR(__xludf.DUMMYFUNCTION("""COMPUTED_VALUE"""),"graft")</f>
        <v>graft</v>
      </c>
      <c r="D525" s="55" t="str">
        <f>IFERROR(__xludf.DUMMYFUNCTION("""COMPUTED_VALUE"""),"Persea americana")</f>
        <v>Persea americana</v>
      </c>
      <c r="E525" s="8" t="str">
        <f>IFERROR(__xludf.DUMMYFUNCTION("""COMPUTED_VALUE"""),"Hall")</f>
        <v>Hall</v>
      </c>
      <c r="F525" s="8" t="str">
        <f>IFERROR(__xludf.DUMMYFUNCTION("""COMPUTED_VALUE"""),"Avocado")</f>
        <v>Avocado</v>
      </c>
      <c r="G525" s="8" t="str">
        <f>IFERROR(__xludf.DUMMYFUNCTION("""COMPUTED_VALUE"""),"Avocat")</f>
        <v>Avocat</v>
      </c>
      <c r="H525" s="8" t="str">
        <f>IFERROR(__xludf.DUMMYFUNCTION("""COMPUTED_VALUE"""),"Avocado")</f>
        <v>Avocado</v>
      </c>
      <c r="I525" s="8" t="str">
        <f>IFERROR(__xludf.DUMMYFUNCTION("""COMPUTED_VALUE"""),"159")</f>
        <v>159</v>
      </c>
      <c r="J525" s="8"/>
      <c r="K525" s="8">
        <f>IFERROR(__xludf.DUMMYFUNCTION("""COMPUTED_VALUE"""),9047.0)</f>
        <v>9047</v>
      </c>
      <c r="L525" s="8">
        <f>IFERROR(__xludf.DUMMYFUNCTION("""COMPUTED_VALUE"""),1.0)</f>
        <v>1</v>
      </c>
      <c r="M525" s="8">
        <f>IFERROR(__xludf.DUMMYFUNCTION("""COMPUTED_VALUE"""),1.0)</f>
        <v>1</v>
      </c>
      <c r="N525" s="8">
        <f>IFERROR(__xludf.DUMMYFUNCTION("""COMPUTED_VALUE"""),1.0)</f>
        <v>1</v>
      </c>
      <c r="O525" s="8"/>
      <c r="P525" s="8"/>
      <c r="Q525" s="8"/>
      <c r="R525" s="8"/>
      <c r="S525" s="8"/>
      <c r="T525" s="8"/>
      <c r="U525" s="8"/>
      <c r="V525" s="8"/>
      <c r="W525" s="8"/>
      <c r="X525" s="8"/>
      <c r="Y525" s="8"/>
      <c r="Z525" s="8"/>
    </row>
    <row r="526">
      <c r="A526" s="8">
        <f>IFERROR(__xludf.DUMMYFUNCTION("""COMPUTED_VALUE"""),867.0)</f>
        <v>867</v>
      </c>
      <c r="B526" s="8" t="str">
        <f>IFERROR(__xludf.DUMMYFUNCTION("""COMPUTED_VALUE"""),"tree")</f>
        <v>tree</v>
      </c>
      <c r="C526" s="8" t="str">
        <f>IFERROR(__xludf.DUMMYFUNCTION("""COMPUTED_VALUE"""),"graft")</f>
        <v>graft</v>
      </c>
      <c r="D526" s="55" t="str">
        <f>IFERROR(__xludf.DUMMYFUNCTION("""COMPUTED_VALUE"""),"Persea americana")</f>
        <v>Persea americana</v>
      </c>
      <c r="E526" s="8" t="str">
        <f>IFERROR(__xludf.DUMMYFUNCTION("""COMPUTED_VALUE"""),"Baxter Brut")</f>
        <v>Baxter Brut</v>
      </c>
      <c r="F526" s="8" t="str">
        <f>IFERROR(__xludf.DUMMYFUNCTION("""COMPUTED_VALUE"""),"Avocado")</f>
        <v>Avocado</v>
      </c>
      <c r="G526" s="8" t="str">
        <f>IFERROR(__xludf.DUMMYFUNCTION("""COMPUTED_VALUE"""),"Avocat")</f>
        <v>Avocat</v>
      </c>
      <c r="H526" s="8" t="str">
        <f>IFERROR(__xludf.DUMMYFUNCTION("""COMPUTED_VALUE"""),"Avocado")</f>
        <v>Avocado</v>
      </c>
      <c r="I526" s="8" t="str">
        <f>IFERROR(__xludf.DUMMYFUNCTION("""COMPUTED_VALUE"""),"169")</f>
        <v>169</v>
      </c>
      <c r="J526" s="8"/>
      <c r="K526" s="8">
        <f>IFERROR(__xludf.DUMMYFUNCTION("""COMPUTED_VALUE"""),9036.0)</f>
        <v>9036</v>
      </c>
      <c r="L526" s="8">
        <f>IFERROR(__xludf.DUMMYFUNCTION("""COMPUTED_VALUE"""),1.0)</f>
        <v>1</v>
      </c>
      <c r="M526" s="8">
        <f>IFERROR(__xludf.DUMMYFUNCTION("""COMPUTED_VALUE"""),0.0)</f>
        <v>0</v>
      </c>
      <c r="N526" s="8">
        <f>IFERROR(__xludf.DUMMYFUNCTION("""COMPUTED_VALUE"""),0.0)</f>
        <v>0</v>
      </c>
      <c r="O526" s="8"/>
      <c r="P526" s="8"/>
      <c r="Q526" s="8"/>
      <c r="R526" s="8"/>
      <c r="S526" s="8"/>
      <c r="T526" s="8"/>
      <c r="U526" s="8"/>
      <c r="V526" s="8"/>
      <c r="W526" s="8"/>
      <c r="X526" s="8"/>
      <c r="Y526" s="8"/>
      <c r="Z526" s="8"/>
    </row>
    <row r="527">
      <c r="A527" s="8">
        <f>IFERROR(__xludf.DUMMYFUNCTION("""COMPUTED_VALUE"""),868.0)</f>
        <v>868</v>
      </c>
      <c r="B527" s="8" t="str">
        <f>IFERROR(__xludf.DUMMYFUNCTION("""COMPUTED_VALUE"""),"tree")</f>
        <v>tree</v>
      </c>
      <c r="C527" s="8" t="str">
        <f>IFERROR(__xludf.DUMMYFUNCTION("""COMPUTED_VALUE"""),"graft")</f>
        <v>graft</v>
      </c>
      <c r="D527" s="55" t="str">
        <f>IFERROR(__xludf.DUMMYFUNCTION("""COMPUTED_VALUE"""),"Persea americana")</f>
        <v>Persea americana</v>
      </c>
      <c r="E527" s="8" t="str">
        <f>IFERROR(__xludf.DUMMYFUNCTION("""COMPUTED_VALUE"""),"Doni")</f>
        <v>Doni</v>
      </c>
      <c r="F527" s="8" t="str">
        <f>IFERROR(__xludf.DUMMYFUNCTION("""COMPUTED_VALUE"""),"Avocado")</f>
        <v>Avocado</v>
      </c>
      <c r="G527" s="8" t="str">
        <f>IFERROR(__xludf.DUMMYFUNCTION("""COMPUTED_VALUE"""),"Avocat")</f>
        <v>Avocat</v>
      </c>
      <c r="H527" s="8" t="str">
        <f>IFERROR(__xludf.DUMMYFUNCTION("""COMPUTED_VALUE"""),"Avocado")</f>
        <v>Avocado</v>
      </c>
      <c r="I527" s="8"/>
      <c r="J527" s="8"/>
      <c r="K527" s="8">
        <f>IFERROR(__xludf.DUMMYFUNCTION("""COMPUTED_VALUE"""),9041.0)</f>
        <v>9041</v>
      </c>
      <c r="L527" s="8">
        <f>IFERROR(__xludf.DUMMYFUNCTION("""COMPUTED_VALUE"""),1.0)</f>
        <v>1</v>
      </c>
      <c r="M527" s="8">
        <f>IFERROR(__xludf.DUMMYFUNCTION("""COMPUTED_VALUE"""),1.0)</f>
        <v>1</v>
      </c>
      <c r="N527" s="8">
        <f>IFERROR(__xludf.DUMMYFUNCTION("""COMPUTED_VALUE"""),2.0)</f>
        <v>2</v>
      </c>
      <c r="O527" s="8"/>
      <c r="P527" s="8"/>
      <c r="Q527" s="8"/>
      <c r="R527" s="8"/>
      <c r="S527" s="8"/>
      <c r="T527" s="8"/>
      <c r="U527" s="8"/>
      <c r="V527" s="8"/>
      <c r="W527" s="8"/>
      <c r="X527" s="8"/>
      <c r="Y527" s="8"/>
      <c r="Z527" s="8"/>
    </row>
    <row r="528">
      <c r="A528" s="8">
        <f>IFERROR(__xludf.DUMMYFUNCTION("""COMPUTED_VALUE"""),869.0)</f>
        <v>869</v>
      </c>
      <c r="B528" s="8" t="str">
        <f>IFERROR(__xludf.DUMMYFUNCTION("""COMPUTED_VALUE"""),"tree")</f>
        <v>tree</v>
      </c>
      <c r="C528" s="8" t="str">
        <f>IFERROR(__xludf.DUMMYFUNCTION("""COMPUTED_VALUE"""),"graft")</f>
        <v>graft</v>
      </c>
      <c r="D528" s="55" t="str">
        <f>IFERROR(__xludf.DUMMYFUNCTION("""COMPUTED_VALUE"""),"Persea americana")</f>
        <v>Persea americana</v>
      </c>
      <c r="E528" s="8" t="str">
        <f>IFERROR(__xludf.DUMMYFUNCTION("""COMPUTED_VALUE"""),"Pollock")</f>
        <v>Pollock</v>
      </c>
      <c r="F528" s="8" t="str">
        <f>IFERROR(__xludf.DUMMYFUNCTION("""COMPUTED_VALUE"""),"Avocado")</f>
        <v>Avocado</v>
      </c>
      <c r="G528" s="8" t="str">
        <f>IFERROR(__xludf.DUMMYFUNCTION("""COMPUTED_VALUE"""),"Avocat")</f>
        <v>Avocat</v>
      </c>
      <c r="H528" s="8" t="str">
        <f>IFERROR(__xludf.DUMMYFUNCTION("""COMPUTED_VALUE"""),"Avocado")</f>
        <v>Avocado</v>
      </c>
      <c r="I528" s="8" t="str">
        <f>IFERROR(__xludf.DUMMYFUNCTION("""COMPUTED_VALUE"""),"148")</f>
        <v>148</v>
      </c>
      <c r="J528" s="8"/>
      <c r="K528" s="8">
        <f>IFERROR(__xludf.DUMMYFUNCTION("""COMPUTED_VALUE"""),9130.0)</f>
        <v>9130</v>
      </c>
      <c r="L528" s="8">
        <f>IFERROR(__xludf.DUMMYFUNCTION("""COMPUTED_VALUE"""),1.0)</f>
        <v>1</v>
      </c>
      <c r="M528" s="8">
        <f>IFERROR(__xludf.DUMMYFUNCTION("""COMPUTED_VALUE"""),0.0)</f>
        <v>0</v>
      </c>
      <c r="N528" s="8">
        <f>IFERROR(__xludf.DUMMYFUNCTION("""COMPUTED_VALUE"""),0.0)</f>
        <v>0</v>
      </c>
      <c r="O528" s="8"/>
      <c r="P528" s="8"/>
      <c r="Q528" s="8"/>
      <c r="R528" s="8"/>
      <c r="S528" s="8"/>
      <c r="T528" s="8"/>
      <c r="U528" s="8"/>
      <c r="V528" s="8"/>
      <c r="W528" s="8"/>
      <c r="X528" s="8"/>
      <c r="Y528" s="8"/>
      <c r="Z528" s="8"/>
    </row>
    <row r="529">
      <c r="A529" s="8">
        <f>IFERROR(__xludf.DUMMYFUNCTION("""COMPUTED_VALUE"""),870.0)</f>
        <v>870</v>
      </c>
      <c r="B529" s="8" t="str">
        <f>IFERROR(__xludf.DUMMYFUNCTION("""COMPUTED_VALUE"""),"tree")</f>
        <v>tree</v>
      </c>
      <c r="C529" s="8" t="str">
        <f>IFERROR(__xludf.DUMMYFUNCTION("""COMPUTED_VALUE"""),"graft")</f>
        <v>graft</v>
      </c>
      <c r="D529" s="55" t="str">
        <f>IFERROR(__xludf.DUMMYFUNCTION("""COMPUTED_VALUE"""),"Persea americana")</f>
        <v>Persea americana</v>
      </c>
      <c r="E529" s="8" t="str">
        <f>IFERROR(__xludf.DUMMYFUNCTION("""COMPUTED_VALUE"""),"Simmonds")</f>
        <v>Simmonds</v>
      </c>
      <c r="F529" s="8" t="str">
        <f>IFERROR(__xludf.DUMMYFUNCTION("""COMPUTED_VALUE"""),"Avocado")</f>
        <v>Avocado</v>
      </c>
      <c r="G529" s="8" t="str">
        <f>IFERROR(__xludf.DUMMYFUNCTION("""COMPUTED_VALUE"""),"Avocat")</f>
        <v>Avocat</v>
      </c>
      <c r="H529" s="8" t="str">
        <f>IFERROR(__xludf.DUMMYFUNCTION("""COMPUTED_VALUE"""),"Avocado")</f>
        <v>Avocado</v>
      </c>
      <c r="I529" s="8"/>
      <c r="J529" s="8"/>
      <c r="K529" s="8">
        <f>IFERROR(__xludf.DUMMYFUNCTION("""COMPUTED_VALUE"""),9054.0)</f>
        <v>9054</v>
      </c>
      <c r="L529" s="8">
        <f>IFERROR(__xludf.DUMMYFUNCTION("""COMPUTED_VALUE"""),1.0)</f>
        <v>1</v>
      </c>
      <c r="M529" s="8">
        <f>IFERROR(__xludf.DUMMYFUNCTION("""COMPUTED_VALUE"""),1.0)</f>
        <v>1</v>
      </c>
      <c r="N529" s="8">
        <f>IFERROR(__xludf.DUMMYFUNCTION("""COMPUTED_VALUE"""),1.0)</f>
        <v>1</v>
      </c>
      <c r="O529" s="8"/>
      <c r="P529" s="8"/>
      <c r="Q529" s="8"/>
      <c r="R529" s="8"/>
      <c r="S529" s="8"/>
      <c r="T529" s="8"/>
      <c r="U529" s="8"/>
      <c r="V529" s="8"/>
      <c r="W529" s="8"/>
      <c r="X529" s="8"/>
      <c r="Y529" s="8"/>
      <c r="Z529" s="8"/>
    </row>
    <row r="530">
      <c r="A530" s="8">
        <f>IFERROR(__xludf.DUMMYFUNCTION("""COMPUTED_VALUE"""),871.0)</f>
        <v>871</v>
      </c>
      <c r="B530" s="8" t="str">
        <f>IFERROR(__xludf.DUMMYFUNCTION("""COMPUTED_VALUE"""),"tree")</f>
        <v>tree</v>
      </c>
      <c r="C530" s="8" t="str">
        <f>IFERROR(__xludf.DUMMYFUNCTION("""COMPUTED_VALUE"""),"graft")</f>
        <v>graft</v>
      </c>
      <c r="D530" s="55" t="str">
        <f>IFERROR(__xludf.DUMMYFUNCTION("""COMPUTED_VALUE"""),"Pouteria caimito")</f>
        <v>Pouteria caimito</v>
      </c>
      <c r="E530" s="8" t="str">
        <f>IFERROR(__xludf.DUMMYFUNCTION("""COMPUTED_VALUE"""),"Hippolito")</f>
        <v>Hippolito</v>
      </c>
      <c r="F530" s="8" t="str">
        <f>IFERROR(__xludf.DUMMYFUNCTION("""COMPUTED_VALUE"""),"Caimito")</f>
        <v>Caimito</v>
      </c>
      <c r="G530" s="8" t="str">
        <f>IFERROR(__xludf.DUMMYFUNCTION("""COMPUTED_VALUE"""),"Abiu")</f>
        <v>Abiu</v>
      </c>
      <c r="H530" s="8" t="str">
        <f>IFERROR(__xludf.DUMMYFUNCTION("""COMPUTED_VALUE"""),"Abiu")</f>
        <v>Abiu</v>
      </c>
      <c r="I530" s="8" t="str">
        <f>IFERROR(__xludf.DUMMYFUNCTION("""COMPUTED_VALUE"""),"037A")</f>
        <v>037A</v>
      </c>
      <c r="J530" s="8"/>
      <c r="K530" s="8">
        <f>IFERROR(__xludf.DUMMYFUNCTION("""COMPUTED_VALUE"""),9146.0)</f>
        <v>9146</v>
      </c>
      <c r="L530" s="8"/>
      <c r="M530" s="8">
        <f>IFERROR(__xludf.DUMMYFUNCTION("""COMPUTED_VALUE"""),1.0)</f>
        <v>1</v>
      </c>
      <c r="N530" s="8">
        <f>IFERROR(__xludf.DUMMYFUNCTION("""COMPUTED_VALUE"""),1.0)</f>
        <v>1</v>
      </c>
      <c r="O530" s="8"/>
      <c r="P530" s="8"/>
      <c r="Q530" s="8"/>
      <c r="R530" s="8"/>
      <c r="S530" s="8"/>
      <c r="T530" s="8"/>
      <c r="U530" s="8"/>
      <c r="V530" s="8"/>
      <c r="W530" s="8"/>
      <c r="X530" s="8"/>
      <c r="Y530" s="8"/>
      <c r="Z530" s="8"/>
    </row>
    <row r="531">
      <c r="A531" s="8">
        <f>IFERROR(__xludf.DUMMYFUNCTION("""COMPUTED_VALUE"""),872.0)</f>
        <v>872</v>
      </c>
      <c r="B531" s="8" t="str">
        <f>IFERROR(__xludf.DUMMYFUNCTION("""COMPUTED_VALUE"""),"perennial")</f>
        <v>perennial</v>
      </c>
      <c r="C531" s="8" t="str">
        <f>IFERROR(__xludf.DUMMYFUNCTION("""COMPUTED_VALUE"""),"cutting")</f>
        <v>cutting</v>
      </c>
      <c r="D531" s="55" t="str">
        <f>IFERROR(__xludf.DUMMYFUNCTION("""COMPUTED_VALUE"""),"Hylocereus polyrhizus")</f>
        <v>Hylocereus polyrhizus</v>
      </c>
      <c r="E531" s="8" t="str">
        <f>IFERROR(__xludf.DUMMYFUNCTION("""COMPUTED_VALUE"""),"Israel Yellow")</f>
        <v>Israel Yellow</v>
      </c>
      <c r="F531" s="8" t="str">
        <f>IFERROR(__xludf.DUMMYFUNCTION("""COMPUTED_VALUE"""),"Dragon Fruit")</f>
        <v>Dragon Fruit</v>
      </c>
      <c r="G531" s="8" t="str">
        <f>IFERROR(__xludf.DUMMYFUNCTION("""COMPUTED_VALUE"""),"Fruit du dragon")</f>
        <v>Fruit du dragon</v>
      </c>
      <c r="H531" s="8" t="str">
        <f>IFERROR(__xludf.DUMMYFUNCTION("""COMPUTED_VALUE"""),"Dragon Fruit")</f>
        <v>Dragon Fruit</v>
      </c>
      <c r="I531" s="8"/>
      <c r="J531" s="8"/>
      <c r="K531" s="8"/>
      <c r="L531" s="8" t="str">
        <f>IFERROR(__xludf.DUMMYFUNCTION("""COMPUTED_VALUE"""),"multiple")</f>
        <v>multiple</v>
      </c>
      <c r="M531" s="8">
        <f>IFERROR(__xludf.DUMMYFUNCTION("""COMPUTED_VALUE"""),0.0)</f>
        <v>0</v>
      </c>
      <c r="N531" s="8">
        <f>IFERROR(__xludf.DUMMYFUNCTION("""COMPUTED_VALUE"""),0.0)</f>
        <v>0</v>
      </c>
      <c r="O531" s="8"/>
      <c r="P531" s="8"/>
      <c r="Q531" s="8"/>
      <c r="R531" s="8"/>
      <c r="S531" s="8"/>
      <c r="T531" s="8"/>
      <c r="U531" s="8"/>
      <c r="V531" s="8"/>
      <c r="W531" s="8"/>
      <c r="X531" s="8"/>
      <c r="Y531" s="8"/>
      <c r="Z531" s="8"/>
    </row>
    <row r="532">
      <c r="A532" s="8">
        <f>IFERROR(__xludf.DUMMYFUNCTION("""COMPUTED_VALUE"""),873.0)</f>
        <v>873</v>
      </c>
      <c r="B532" s="8" t="str">
        <f>IFERROR(__xludf.DUMMYFUNCTION("""COMPUTED_VALUE"""),"perennial")</f>
        <v>perennial</v>
      </c>
      <c r="C532" s="8" t="str">
        <f>IFERROR(__xludf.DUMMYFUNCTION("""COMPUTED_VALUE"""),"cutting")</f>
        <v>cutting</v>
      </c>
      <c r="D532" s="55" t="str">
        <f>IFERROR(__xludf.DUMMYFUNCTION("""COMPUTED_VALUE"""),"Hylocereus polyrhizus")</f>
        <v>Hylocereus polyrhizus</v>
      </c>
      <c r="E532" s="8" t="str">
        <f>IFERROR(__xludf.DUMMYFUNCTION("""COMPUTED_VALUE"""),"Israel Yellow")</f>
        <v>Israel Yellow</v>
      </c>
      <c r="F532" s="8" t="str">
        <f>IFERROR(__xludf.DUMMYFUNCTION("""COMPUTED_VALUE"""),"Dragon Fruit")</f>
        <v>Dragon Fruit</v>
      </c>
      <c r="G532" s="8" t="str">
        <f>IFERROR(__xludf.DUMMYFUNCTION("""COMPUTED_VALUE"""),"Fruit du dragon")</f>
        <v>Fruit du dragon</v>
      </c>
      <c r="H532" s="8" t="str">
        <f>IFERROR(__xludf.DUMMYFUNCTION("""COMPUTED_VALUE"""),"Dragon Fruit")</f>
        <v>Dragon Fruit</v>
      </c>
      <c r="I532" s="8"/>
      <c r="J532" s="8"/>
      <c r="K532" s="8"/>
      <c r="L532" s="8" t="str">
        <f>IFERROR(__xludf.DUMMYFUNCTION("""COMPUTED_VALUE"""),"multiple")</f>
        <v>multiple</v>
      </c>
      <c r="M532" s="8">
        <f>IFERROR(__xludf.DUMMYFUNCTION("""COMPUTED_VALUE"""),0.0)</f>
        <v>0</v>
      </c>
      <c r="N532" s="8">
        <f>IFERROR(__xludf.DUMMYFUNCTION("""COMPUTED_VALUE"""),0.0)</f>
        <v>0</v>
      </c>
      <c r="O532" s="8"/>
      <c r="P532" s="8"/>
      <c r="Q532" s="8"/>
      <c r="R532" s="8"/>
      <c r="S532" s="8"/>
      <c r="T532" s="8"/>
      <c r="U532" s="8"/>
      <c r="V532" s="8"/>
      <c r="W532" s="8"/>
      <c r="X532" s="8"/>
      <c r="Y532" s="8"/>
      <c r="Z532" s="8"/>
    </row>
    <row r="533">
      <c r="A533" s="8">
        <f>IFERROR(__xludf.DUMMYFUNCTION("""COMPUTED_VALUE"""),874.0)</f>
        <v>874</v>
      </c>
      <c r="B533" s="8" t="str">
        <f>IFERROR(__xludf.DUMMYFUNCTION("""COMPUTED_VALUE"""),"perennial")</f>
        <v>perennial</v>
      </c>
      <c r="C533" s="8" t="str">
        <f>IFERROR(__xludf.DUMMYFUNCTION("""COMPUTED_VALUE"""),"cutting")</f>
        <v>cutting</v>
      </c>
      <c r="D533" s="55" t="str">
        <f>IFERROR(__xludf.DUMMYFUNCTION("""COMPUTED_VALUE"""),"Hylocereus polyrhizus")</f>
        <v>Hylocereus polyrhizus</v>
      </c>
      <c r="E533" s="8" t="str">
        <f>IFERROR(__xludf.DUMMYFUNCTION("""COMPUTED_VALUE"""),"Israel Yellow")</f>
        <v>Israel Yellow</v>
      </c>
      <c r="F533" s="8" t="str">
        <f>IFERROR(__xludf.DUMMYFUNCTION("""COMPUTED_VALUE"""),"Dragon Fruit")</f>
        <v>Dragon Fruit</v>
      </c>
      <c r="G533" s="8" t="str">
        <f>IFERROR(__xludf.DUMMYFUNCTION("""COMPUTED_VALUE"""),"Fruit du dragon")</f>
        <v>Fruit du dragon</v>
      </c>
      <c r="H533" s="8" t="str">
        <f>IFERROR(__xludf.DUMMYFUNCTION("""COMPUTED_VALUE"""),"Dragon Fruit")</f>
        <v>Dragon Fruit</v>
      </c>
      <c r="I533" s="8"/>
      <c r="J533" s="8"/>
      <c r="K533" s="8"/>
      <c r="L533" s="8" t="str">
        <f>IFERROR(__xludf.DUMMYFUNCTION("""COMPUTED_VALUE"""),"multiple")</f>
        <v>multiple</v>
      </c>
      <c r="M533" s="8">
        <f>IFERROR(__xludf.DUMMYFUNCTION("""COMPUTED_VALUE"""),0.0)</f>
        <v>0</v>
      </c>
      <c r="N533" s="8">
        <f>IFERROR(__xludf.DUMMYFUNCTION("""COMPUTED_VALUE"""),0.0)</f>
        <v>0</v>
      </c>
      <c r="O533" s="8"/>
      <c r="P533" s="8"/>
      <c r="Q533" s="8"/>
      <c r="R533" s="8"/>
      <c r="S533" s="8"/>
      <c r="T533" s="8"/>
      <c r="U533" s="8"/>
      <c r="V533" s="8"/>
      <c r="W533" s="8"/>
      <c r="X533" s="8"/>
      <c r="Y533" s="8"/>
      <c r="Z533" s="8"/>
    </row>
    <row r="534">
      <c r="A534" s="8">
        <f>IFERROR(__xludf.DUMMYFUNCTION("""COMPUTED_VALUE"""),875.0)</f>
        <v>875</v>
      </c>
      <c r="B534" s="8" t="str">
        <f>IFERROR(__xludf.DUMMYFUNCTION("""COMPUTED_VALUE"""),"perennial")</f>
        <v>perennial</v>
      </c>
      <c r="C534" s="8" t="str">
        <f>IFERROR(__xludf.DUMMYFUNCTION("""COMPUTED_VALUE"""),"cutting")</f>
        <v>cutting</v>
      </c>
      <c r="D534" s="55" t="str">
        <f>IFERROR(__xludf.DUMMYFUNCTION("""COMPUTED_VALUE"""),"Selenicereus megalanthus")</f>
        <v>Selenicereus megalanthus</v>
      </c>
      <c r="E534" s="8" t="str">
        <f>IFERROR(__xludf.DUMMYFUNCTION("""COMPUTED_VALUE"""),"Palora")</f>
        <v>Palora</v>
      </c>
      <c r="F534" s="8" t="str">
        <f>IFERROR(__xludf.DUMMYFUNCTION("""COMPUTED_VALUE"""),"Dragon Fruit")</f>
        <v>Dragon Fruit</v>
      </c>
      <c r="G534" s="8" t="str">
        <f>IFERROR(__xludf.DUMMYFUNCTION("""COMPUTED_VALUE"""),"Fruit du dragon jaune")</f>
        <v>Fruit du dragon jaune</v>
      </c>
      <c r="H534" s="8" t="str">
        <f>IFERROR(__xludf.DUMMYFUNCTION("""COMPUTED_VALUE"""),"Yellow Dragon Fruit")</f>
        <v>Yellow Dragon Fruit</v>
      </c>
      <c r="I534" s="8"/>
      <c r="J534" s="8"/>
      <c r="K534" s="8"/>
      <c r="L534" s="8" t="str">
        <f>IFERROR(__xludf.DUMMYFUNCTION("""COMPUTED_VALUE"""),"multiple")</f>
        <v>multiple</v>
      </c>
      <c r="M534" s="8">
        <f>IFERROR(__xludf.DUMMYFUNCTION("""COMPUTED_VALUE"""),0.0)</f>
        <v>0</v>
      </c>
      <c r="N534" s="8">
        <f>IFERROR(__xludf.DUMMYFUNCTION("""COMPUTED_VALUE"""),0.0)</f>
        <v>0</v>
      </c>
      <c r="O534" s="8"/>
      <c r="P534" s="8"/>
      <c r="Q534" s="8"/>
      <c r="R534" s="8"/>
      <c r="S534" s="8"/>
      <c r="T534" s="8"/>
      <c r="U534" s="8"/>
      <c r="V534" s="8"/>
      <c r="W534" s="8"/>
      <c r="X534" s="8"/>
      <c r="Y534" s="8"/>
      <c r="Z534" s="8"/>
    </row>
    <row r="535">
      <c r="A535" s="8">
        <f>IFERROR(__xludf.DUMMYFUNCTION("""COMPUTED_VALUE"""),876.0)</f>
        <v>876</v>
      </c>
      <c r="B535" s="8" t="str">
        <f>IFERROR(__xludf.DUMMYFUNCTION("""COMPUTED_VALUE"""),"perennial")</f>
        <v>perennial</v>
      </c>
      <c r="C535" s="8" t="str">
        <f>IFERROR(__xludf.DUMMYFUNCTION("""COMPUTED_VALUE"""),"cutting")</f>
        <v>cutting</v>
      </c>
      <c r="D535" s="55" t="str">
        <f>IFERROR(__xludf.DUMMYFUNCTION("""COMPUTED_VALUE"""),"Selenicereus megalanthus")</f>
        <v>Selenicereus megalanthus</v>
      </c>
      <c r="E535" s="8" t="str">
        <f>IFERROR(__xludf.DUMMYFUNCTION("""COMPUTED_VALUE"""),"Palora")</f>
        <v>Palora</v>
      </c>
      <c r="F535" s="8" t="str">
        <f>IFERROR(__xludf.DUMMYFUNCTION("""COMPUTED_VALUE"""),"Dragon Fruit")</f>
        <v>Dragon Fruit</v>
      </c>
      <c r="G535" s="8" t="str">
        <f>IFERROR(__xludf.DUMMYFUNCTION("""COMPUTED_VALUE"""),"Fruit du dragon jaune")</f>
        <v>Fruit du dragon jaune</v>
      </c>
      <c r="H535" s="8" t="str">
        <f>IFERROR(__xludf.DUMMYFUNCTION("""COMPUTED_VALUE"""),"Yellow Dragon Fruit")</f>
        <v>Yellow Dragon Fruit</v>
      </c>
      <c r="I535" s="8"/>
      <c r="J535" s="8"/>
      <c r="K535" s="8"/>
      <c r="L535" s="8" t="str">
        <f>IFERROR(__xludf.DUMMYFUNCTION("""COMPUTED_VALUE"""),"multiple")</f>
        <v>multiple</v>
      </c>
      <c r="M535" s="8">
        <f>IFERROR(__xludf.DUMMYFUNCTION("""COMPUTED_VALUE"""),0.0)</f>
        <v>0</v>
      </c>
      <c r="N535" s="8">
        <f>IFERROR(__xludf.DUMMYFUNCTION("""COMPUTED_VALUE"""),0.0)</f>
        <v>0</v>
      </c>
      <c r="O535" s="8"/>
      <c r="P535" s="8"/>
      <c r="Q535" s="8"/>
      <c r="R535" s="8"/>
      <c r="S535" s="8"/>
      <c r="T535" s="8"/>
      <c r="U535" s="8"/>
      <c r="V535" s="8"/>
      <c r="W535" s="8"/>
      <c r="X535" s="8"/>
      <c r="Y535" s="8"/>
      <c r="Z535" s="8"/>
    </row>
    <row r="536">
      <c r="A536" s="8">
        <f>IFERROR(__xludf.DUMMYFUNCTION("""COMPUTED_VALUE"""),877.0)</f>
        <v>877</v>
      </c>
      <c r="B536" s="8" t="str">
        <f>IFERROR(__xludf.DUMMYFUNCTION("""COMPUTED_VALUE"""),"perennial")</f>
        <v>perennial</v>
      </c>
      <c r="C536" s="8" t="str">
        <f>IFERROR(__xludf.DUMMYFUNCTION("""COMPUTED_VALUE"""),"cutting")</f>
        <v>cutting</v>
      </c>
      <c r="D536" s="55" t="str">
        <f>IFERROR(__xludf.DUMMYFUNCTION("""COMPUTED_VALUE"""),"Selenicereus megalanthus")</f>
        <v>Selenicereus megalanthus</v>
      </c>
      <c r="E536" s="8" t="str">
        <f>IFERROR(__xludf.DUMMYFUNCTION("""COMPUTED_VALUE"""),"Palora")</f>
        <v>Palora</v>
      </c>
      <c r="F536" s="8" t="str">
        <f>IFERROR(__xludf.DUMMYFUNCTION("""COMPUTED_VALUE"""),"Dragon Fruit")</f>
        <v>Dragon Fruit</v>
      </c>
      <c r="G536" s="8" t="str">
        <f>IFERROR(__xludf.DUMMYFUNCTION("""COMPUTED_VALUE"""),"Fruit du dragon jaune")</f>
        <v>Fruit du dragon jaune</v>
      </c>
      <c r="H536" s="8" t="str">
        <f>IFERROR(__xludf.DUMMYFUNCTION("""COMPUTED_VALUE"""),"Yellow Dragon Fruit")</f>
        <v>Yellow Dragon Fruit</v>
      </c>
      <c r="I536" s="8"/>
      <c r="J536" s="8"/>
      <c r="K536" s="8"/>
      <c r="L536" s="8" t="str">
        <f>IFERROR(__xludf.DUMMYFUNCTION("""COMPUTED_VALUE"""),"multiple")</f>
        <v>multiple</v>
      </c>
      <c r="M536" s="8">
        <f>IFERROR(__xludf.DUMMYFUNCTION("""COMPUTED_VALUE"""),0.0)</f>
        <v>0</v>
      </c>
      <c r="N536" s="8">
        <f>IFERROR(__xludf.DUMMYFUNCTION("""COMPUTED_VALUE"""),0.0)</f>
        <v>0</v>
      </c>
      <c r="O536" s="8"/>
      <c r="P536" s="8"/>
      <c r="Q536" s="8"/>
      <c r="R536" s="8"/>
      <c r="S536" s="8"/>
      <c r="T536" s="8"/>
      <c r="U536" s="8"/>
      <c r="V536" s="8"/>
      <c r="W536" s="8"/>
      <c r="X536" s="8"/>
      <c r="Y536" s="8"/>
      <c r="Z536" s="8"/>
    </row>
    <row r="537">
      <c r="A537" s="8">
        <f>IFERROR(__xludf.DUMMYFUNCTION("""COMPUTED_VALUE"""),878.0)</f>
        <v>878</v>
      </c>
      <c r="B537" s="8" t="str">
        <f>IFERROR(__xludf.DUMMYFUNCTION("""COMPUTED_VALUE"""),"perennial")</f>
        <v>perennial</v>
      </c>
      <c r="C537" s="8" t="str">
        <f>IFERROR(__xludf.DUMMYFUNCTION("""COMPUTED_VALUE"""),"cutting")</f>
        <v>cutting</v>
      </c>
      <c r="D537" s="55" t="str">
        <f>IFERROR(__xludf.DUMMYFUNCTION("""COMPUTED_VALUE"""),"Selenicereus megalanthus")</f>
        <v>Selenicereus megalanthus</v>
      </c>
      <c r="E537" s="8" t="str">
        <f>IFERROR(__xludf.DUMMYFUNCTION("""COMPUTED_VALUE"""),"Palora")</f>
        <v>Palora</v>
      </c>
      <c r="F537" s="8" t="str">
        <f>IFERROR(__xludf.DUMMYFUNCTION("""COMPUTED_VALUE"""),"Dragon Fruit")</f>
        <v>Dragon Fruit</v>
      </c>
      <c r="G537" s="8" t="str">
        <f>IFERROR(__xludf.DUMMYFUNCTION("""COMPUTED_VALUE"""),"Fruit du dragon jaune")</f>
        <v>Fruit du dragon jaune</v>
      </c>
      <c r="H537" s="8" t="str">
        <f>IFERROR(__xludf.DUMMYFUNCTION("""COMPUTED_VALUE"""),"Yellow Dragon Fruit")</f>
        <v>Yellow Dragon Fruit</v>
      </c>
      <c r="I537" s="8"/>
      <c r="J537" s="8"/>
      <c r="K537" s="8"/>
      <c r="L537" s="8" t="str">
        <f>IFERROR(__xludf.DUMMYFUNCTION("""COMPUTED_VALUE"""),"multiple")</f>
        <v>multiple</v>
      </c>
      <c r="M537" s="8">
        <f>IFERROR(__xludf.DUMMYFUNCTION("""COMPUTED_VALUE"""),0.0)</f>
        <v>0</v>
      </c>
      <c r="N537" s="8">
        <f>IFERROR(__xludf.DUMMYFUNCTION("""COMPUTED_VALUE"""),0.0)</f>
        <v>0</v>
      </c>
      <c r="O537" s="8"/>
      <c r="P537" s="8"/>
      <c r="Q537" s="8"/>
      <c r="R537" s="8"/>
      <c r="S537" s="8"/>
      <c r="T537" s="8"/>
      <c r="U537" s="8"/>
      <c r="V537" s="8"/>
      <c r="W537" s="8"/>
      <c r="X537" s="8"/>
      <c r="Y537" s="8"/>
      <c r="Z537" s="8"/>
    </row>
    <row r="538">
      <c r="A538" s="8">
        <f>IFERROR(__xludf.DUMMYFUNCTION("""COMPUTED_VALUE"""),879.0)</f>
        <v>879</v>
      </c>
      <c r="B538" s="8" t="str">
        <f>IFERROR(__xludf.DUMMYFUNCTION("""COMPUTED_VALUE"""),"perennial")</f>
        <v>perennial</v>
      </c>
      <c r="C538" s="8" t="str">
        <f>IFERROR(__xludf.DUMMYFUNCTION("""COMPUTED_VALUE"""),"cutting")</f>
        <v>cutting</v>
      </c>
      <c r="D538" s="55" t="str">
        <f>IFERROR(__xludf.DUMMYFUNCTION("""COMPUTED_VALUE"""),"Hylocereus polyrhizus")</f>
        <v>Hylocereus polyrhizus</v>
      </c>
      <c r="E538" s="8" t="str">
        <f>IFERROR(__xludf.DUMMYFUNCTION("""COMPUTED_VALUE"""),"Costa Rica rootstock")</f>
        <v>Costa Rica rootstock</v>
      </c>
      <c r="F538" s="8" t="str">
        <f>IFERROR(__xludf.DUMMYFUNCTION("""COMPUTED_VALUE"""),"Dragon Fruit")</f>
        <v>Dragon Fruit</v>
      </c>
      <c r="G538" s="8" t="str">
        <f>IFERROR(__xludf.DUMMYFUNCTION("""COMPUTED_VALUE"""),"Fruit du dragon")</f>
        <v>Fruit du dragon</v>
      </c>
      <c r="H538" s="8" t="str">
        <f>IFERROR(__xludf.DUMMYFUNCTION("""COMPUTED_VALUE"""),"Dragon Fruit")</f>
        <v>Dragon Fruit</v>
      </c>
      <c r="I538" s="8"/>
      <c r="J538" s="8"/>
      <c r="K538" s="8">
        <f>IFERROR(__xludf.DUMMYFUNCTION("""COMPUTED_VALUE"""),0.0)</f>
        <v>0</v>
      </c>
      <c r="L538" s="8" t="str">
        <f>IFERROR(__xludf.DUMMYFUNCTION("""COMPUTED_VALUE"""),"multiple")</f>
        <v>multiple</v>
      </c>
      <c r="M538" s="8">
        <f>IFERROR(__xludf.DUMMYFUNCTION("""COMPUTED_VALUE"""),0.0)</f>
        <v>0</v>
      </c>
      <c r="N538" s="8">
        <f>IFERROR(__xludf.DUMMYFUNCTION("""COMPUTED_VALUE"""),0.0)</f>
        <v>0</v>
      </c>
      <c r="O538" s="8"/>
      <c r="P538" s="8"/>
      <c r="Q538" s="8"/>
      <c r="R538" s="8"/>
      <c r="S538" s="8"/>
      <c r="T538" s="8"/>
      <c r="U538" s="8"/>
      <c r="V538" s="8"/>
      <c r="W538" s="8"/>
      <c r="X538" s="8"/>
      <c r="Y538" s="8"/>
      <c r="Z538" s="8"/>
    </row>
    <row r="539">
      <c r="A539" s="8">
        <f>IFERROR(__xludf.DUMMYFUNCTION("""COMPUTED_VALUE"""),880.0)</f>
        <v>880</v>
      </c>
      <c r="B539" s="8" t="str">
        <f>IFERROR(__xludf.DUMMYFUNCTION("""COMPUTED_VALUE"""),"perennial")</f>
        <v>perennial</v>
      </c>
      <c r="C539" s="8" t="str">
        <f>IFERROR(__xludf.DUMMYFUNCTION("""COMPUTED_VALUE"""),"cutting")</f>
        <v>cutting</v>
      </c>
      <c r="D539" s="55" t="str">
        <f>IFERROR(__xludf.DUMMYFUNCTION("""COMPUTED_VALUE"""),"Hylocereus polyrhizus")</f>
        <v>Hylocereus polyrhizus</v>
      </c>
      <c r="E539" s="8" t="str">
        <f>IFERROR(__xludf.DUMMYFUNCTION("""COMPUTED_VALUE"""),"Costa Rica rootstock")</f>
        <v>Costa Rica rootstock</v>
      </c>
      <c r="F539" s="8" t="str">
        <f>IFERROR(__xludf.DUMMYFUNCTION("""COMPUTED_VALUE"""),"Dragon Fruit")</f>
        <v>Dragon Fruit</v>
      </c>
      <c r="G539" s="8" t="str">
        <f>IFERROR(__xludf.DUMMYFUNCTION("""COMPUTED_VALUE"""),"Fruit du dragon")</f>
        <v>Fruit du dragon</v>
      </c>
      <c r="H539" s="8" t="str">
        <f>IFERROR(__xludf.DUMMYFUNCTION("""COMPUTED_VALUE"""),"Dragon Fruit")</f>
        <v>Dragon Fruit</v>
      </c>
      <c r="I539" s="8"/>
      <c r="J539" s="8"/>
      <c r="K539" s="8">
        <f>IFERROR(__xludf.DUMMYFUNCTION("""COMPUTED_VALUE"""),0.0)</f>
        <v>0</v>
      </c>
      <c r="L539" s="8" t="str">
        <f>IFERROR(__xludf.DUMMYFUNCTION("""COMPUTED_VALUE"""),"multiple")</f>
        <v>multiple</v>
      </c>
      <c r="M539" s="8">
        <f>IFERROR(__xludf.DUMMYFUNCTION("""COMPUTED_VALUE"""),0.0)</f>
        <v>0</v>
      </c>
      <c r="N539" s="8">
        <f>IFERROR(__xludf.DUMMYFUNCTION("""COMPUTED_VALUE"""),0.0)</f>
        <v>0</v>
      </c>
      <c r="O539" s="8"/>
      <c r="P539" s="8"/>
      <c r="Q539" s="8"/>
      <c r="R539" s="8"/>
      <c r="S539" s="8"/>
      <c r="T539" s="8"/>
      <c r="U539" s="8"/>
      <c r="V539" s="8"/>
      <c r="W539" s="8"/>
      <c r="X539" s="8"/>
      <c r="Y539" s="8"/>
      <c r="Z539" s="8"/>
    </row>
    <row r="540">
      <c r="A540" s="8">
        <f>IFERROR(__xludf.DUMMYFUNCTION("""COMPUTED_VALUE"""),881.0)</f>
        <v>881</v>
      </c>
      <c r="B540" s="8" t="str">
        <f>IFERROR(__xludf.DUMMYFUNCTION("""COMPUTED_VALUE"""),"perennial")</f>
        <v>perennial</v>
      </c>
      <c r="C540" s="8" t="str">
        <f>IFERROR(__xludf.DUMMYFUNCTION("""COMPUTED_VALUE"""),"cutting")</f>
        <v>cutting</v>
      </c>
      <c r="D540" s="55" t="str">
        <f>IFERROR(__xludf.DUMMYFUNCTION("""COMPUTED_VALUE"""),"Hylocereus polyrhizus")</f>
        <v>Hylocereus polyrhizus</v>
      </c>
      <c r="E540" s="8" t="str">
        <f>IFERROR(__xludf.DUMMYFUNCTION("""COMPUTED_VALUE"""),"Frankie's Red")</f>
        <v>Frankie's Red</v>
      </c>
      <c r="F540" s="8" t="str">
        <f>IFERROR(__xludf.DUMMYFUNCTION("""COMPUTED_VALUE"""),"Dragon Fruit")</f>
        <v>Dragon Fruit</v>
      </c>
      <c r="G540" s="8" t="str">
        <f>IFERROR(__xludf.DUMMYFUNCTION("""COMPUTED_VALUE"""),"Fruit du dragon")</f>
        <v>Fruit du dragon</v>
      </c>
      <c r="H540" s="8" t="str">
        <f>IFERROR(__xludf.DUMMYFUNCTION("""COMPUTED_VALUE"""),"Dragon Fruit")</f>
        <v>Dragon Fruit</v>
      </c>
      <c r="I540" s="8"/>
      <c r="J540" s="8"/>
      <c r="K540" s="8"/>
      <c r="L540" s="8" t="str">
        <f>IFERROR(__xludf.DUMMYFUNCTION("""COMPUTED_VALUE"""),"multiple")</f>
        <v>multiple</v>
      </c>
      <c r="M540" s="8">
        <f>IFERROR(__xludf.DUMMYFUNCTION("""COMPUTED_VALUE"""),0.0)</f>
        <v>0</v>
      </c>
      <c r="N540" s="8">
        <f>IFERROR(__xludf.DUMMYFUNCTION("""COMPUTED_VALUE"""),1.0)</f>
        <v>1</v>
      </c>
      <c r="O540" s="8"/>
      <c r="P540" s="8"/>
      <c r="Q540" s="8"/>
      <c r="R540" s="8"/>
      <c r="S540" s="8"/>
      <c r="T540" s="8"/>
      <c r="U540" s="8"/>
      <c r="V540" s="8"/>
      <c r="W540" s="8"/>
      <c r="X540" s="8"/>
      <c r="Y540" s="8"/>
      <c r="Z540" s="8"/>
    </row>
    <row r="541">
      <c r="A541" s="8">
        <f>IFERROR(__xludf.DUMMYFUNCTION("""COMPUTED_VALUE"""),882.0)</f>
        <v>882</v>
      </c>
      <c r="B541" s="8" t="str">
        <f>IFERROR(__xludf.DUMMYFUNCTION("""COMPUTED_VALUE"""),"perennial")</f>
        <v>perennial</v>
      </c>
      <c r="C541" s="8" t="str">
        <f>IFERROR(__xludf.DUMMYFUNCTION("""COMPUTED_VALUE"""),"cutting")</f>
        <v>cutting</v>
      </c>
      <c r="D541" s="55" t="str">
        <f>IFERROR(__xludf.DUMMYFUNCTION("""COMPUTED_VALUE"""),"Hylocereus polyrhizus")</f>
        <v>Hylocereus polyrhizus</v>
      </c>
      <c r="E541" s="8" t="str">
        <f>IFERROR(__xludf.DUMMYFUNCTION("""COMPUTED_VALUE"""),"Costa Rica rootstock")</f>
        <v>Costa Rica rootstock</v>
      </c>
      <c r="F541" s="8" t="str">
        <f>IFERROR(__xludf.DUMMYFUNCTION("""COMPUTED_VALUE"""),"Dragon Fruit")</f>
        <v>Dragon Fruit</v>
      </c>
      <c r="G541" s="8" t="str">
        <f>IFERROR(__xludf.DUMMYFUNCTION("""COMPUTED_VALUE"""),"Fruit du dragon")</f>
        <v>Fruit du dragon</v>
      </c>
      <c r="H541" s="8" t="str">
        <f>IFERROR(__xludf.DUMMYFUNCTION("""COMPUTED_VALUE"""),"Dragon Fruit")</f>
        <v>Dragon Fruit</v>
      </c>
      <c r="I541" s="8"/>
      <c r="J541" s="8"/>
      <c r="K541" s="8">
        <f>IFERROR(__xludf.DUMMYFUNCTION("""COMPUTED_VALUE"""),0.0)</f>
        <v>0</v>
      </c>
      <c r="L541" s="8" t="str">
        <f>IFERROR(__xludf.DUMMYFUNCTION("""COMPUTED_VALUE"""),"multiple")</f>
        <v>multiple</v>
      </c>
      <c r="M541" s="8">
        <f>IFERROR(__xludf.DUMMYFUNCTION("""COMPUTED_VALUE"""),0.0)</f>
        <v>0</v>
      </c>
      <c r="N541" s="8">
        <f>IFERROR(__xludf.DUMMYFUNCTION("""COMPUTED_VALUE"""),0.0)</f>
        <v>0</v>
      </c>
      <c r="O541" s="8"/>
      <c r="P541" s="8"/>
      <c r="Q541" s="8"/>
      <c r="R541" s="8"/>
      <c r="S541" s="8"/>
      <c r="T541" s="8"/>
      <c r="U541" s="8"/>
      <c r="V541" s="8"/>
      <c r="W541" s="8"/>
      <c r="X541" s="8"/>
      <c r="Y541" s="8"/>
      <c r="Z541" s="8"/>
    </row>
    <row r="542">
      <c r="A542" s="8">
        <f>IFERROR(__xludf.DUMMYFUNCTION("""COMPUTED_VALUE"""),883.0)</f>
        <v>883</v>
      </c>
      <c r="B542" s="8" t="str">
        <f>IFERROR(__xludf.DUMMYFUNCTION("""COMPUTED_VALUE"""),"perennial")</f>
        <v>perennial</v>
      </c>
      <c r="C542" s="8" t="str">
        <f>IFERROR(__xludf.DUMMYFUNCTION("""COMPUTED_VALUE"""),"cutting")</f>
        <v>cutting</v>
      </c>
      <c r="D542" s="55" t="str">
        <f>IFERROR(__xludf.DUMMYFUNCTION("""COMPUTED_VALUE"""),"Hylocereus polyrhizus")</f>
        <v>Hylocereus polyrhizus</v>
      </c>
      <c r="E542" s="8" t="str">
        <f>IFERROR(__xludf.DUMMYFUNCTION("""COMPUTED_VALUE"""),"Costa Rica rootstock")</f>
        <v>Costa Rica rootstock</v>
      </c>
      <c r="F542" s="8" t="str">
        <f>IFERROR(__xludf.DUMMYFUNCTION("""COMPUTED_VALUE"""),"Dragon Fruit")</f>
        <v>Dragon Fruit</v>
      </c>
      <c r="G542" s="8" t="str">
        <f>IFERROR(__xludf.DUMMYFUNCTION("""COMPUTED_VALUE"""),"Fruit du dragon")</f>
        <v>Fruit du dragon</v>
      </c>
      <c r="H542" s="8" t="str">
        <f>IFERROR(__xludf.DUMMYFUNCTION("""COMPUTED_VALUE"""),"Dragon Fruit")</f>
        <v>Dragon Fruit</v>
      </c>
      <c r="I542" s="8"/>
      <c r="J542" s="8"/>
      <c r="K542" s="8">
        <f>IFERROR(__xludf.DUMMYFUNCTION("""COMPUTED_VALUE"""),0.0)</f>
        <v>0</v>
      </c>
      <c r="L542" s="8" t="str">
        <f>IFERROR(__xludf.DUMMYFUNCTION("""COMPUTED_VALUE"""),"multiple")</f>
        <v>multiple</v>
      </c>
      <c r="M542" s="8">
        <f>IFERROR(__xludf.DUMMYFUNCTION("""COMPUTED_VALUE"""),0.0)</f>
        <v>0</v>
      </c>
      <c r="N542" s="8">
        <f>IFERROR(__xludf.DUMMYFUNCTION("""COMPUTED_VALUE"""),0.0)</f>
        <v>0</v>
      </c>
      <c r="O542" s="8"/>
      <c r="P542" s="8"/>
      <c r="Q542" s="8"/>
      <c r="R542" s="8"/>
      <c r="S542" s="8"/>
      <c r="T542" s="8"/>
      <c r="U542" s="8"/>
      <c r="V542" s="8"/>
      <c r="W542" s="8"/>
      <c r="X542" s="8"/>
      <c r="Y542" s="8"/>
      <c r="Z542" s="8"/>
    </row>
    <row r="543">
      <c r="A543" s="8">
        <f>IFERROR(__xludf.DUMMYFUNCTION("""COMPUTED_VALUE"""),884.0)</f>
        <v>884</v>
      </c>
      <c r="B543" s="8" t="str">
        <f>IFERROR(__xludf.DUMMYFUNCTION("""COMPUTED_VALUE"""),"perennial")</f>
        <v>perennial</v>
      </c>
      <c r="C543" s="8" t="str">
        <f>IFERROR(__xludf.DUMMYFUNCTION("""COMPUTED_VALUE"""),"cutting")</f>
        <v>cutting</v>
      </c>
      <c r="D543" s="55" t="str">
        <f>IFERROR(__xludf.DUMMYFUNCTION("""COMPUTED_VALUE"""),"Hylocereus polyrhizus")</f>
        <v>Hylocereus polyrhizus</v>
      </c>
      <c r="E543" s="8" t="str">
        <f>IFERROR(__xludf.DUMMYFUNCTION("""COMPUTED_VALUE"""),"Costa Rica rootstock")</f>
        <v>Costa Rica rootstock</v>
      </c>
      <c r="F543" s="8" t="str">
        <f>IFERROR(__xludf.DUMMYFUNCTION("""COMPUTED_VALUE"""),"Dragon Fruit")</f>
        <v>Dragon Fruit</v>
      </c>
      <c r="G543" s="8" t="str">
        <f>IFERROR(__xludf.DUMMYFUNCTION("""COMPUTED_VALUE"""),"Fruit du dragon")</f>
        <v>Fruit du dragon</v>
      </c>
      <c r="H543" s="8" t="str">
        <f>IFERROR(__xludf.DUMMYFUNCTION("""COMPUTED_VALUE"""),"Dragon Fruit")</f>
        <v>Dragon Fruit</v>
      </c>
      <c r="I543" s="8"/>
      <c r="J543" s="8"/>
      <c r="K543" s="8">
        <f>IFERROR(__xludf.DUMMYFUNCTION("""COMPUTED_VALUE"""),0.0)</f>
        <v>0</v>
      </c>
      <c r="L543" s="8" t="str">
        <f>IFERROR(__xludf.DUMMYFUNCTION("""COMPUTED_VALUE"""),"multiple")</f>
        <v>multiple</v>
      </c>
      <c r="M543" s="8">
        <f>IFERROR(__xludf.DUMMYFUNCTION("""COMPUTED_VALUE"""),0.0)</f>
        <v>0</v>
      </c>
      <c r="N543" s="8">
        <f>IFERROR(__xludf.DUMMYFUNCTION("""COMPUTED_VALUE"""),0.0)</f>
        <v>0</v>
      </c>
      <c r="O543" s="8"/>
      <c r="P543" s="8"/>
      <c r="Q543" s="8"/>
      <c r="R543" s="8"/>
      <c r="S543" s="8"/>
      <c r="T543" s="8"/>
      <c r="U543" s="8"/>
      <c r="V543" s="8"/>
      <c r="W543" s="8"/>
      <c r="X543" s="8"/>
      <c r="Y543" s="8"/>
      <c r="Z543" s="8"/>
    </row>
    <row r="544">
      <c r="A544" s="8">
        <f>IFERROR(__xludf.DUMMYFUNCTION("""COMPUTED_VALUE"""),885.0)</f>
        <v>885</v>
      </c>
      <c r="B544" s="8" t="str">
        <f>IFERROR(__xludf.DUMMYFUNCTION("""COMPUTED_VALUE"""),"perennial")</f>
        <v>perennial</v>
      </c>
      <c r="C544" s="8" t="str">
        <f>IFERROR(__xludf.DUMMYFUNCTION("""COMPUTED_VALUE"""),"cutting")</f>
        <v>cutting</v>
      </c>
      <c r="D544" s="55" t="str">
        <f>IFERROR(__xludf.DUMMYFUNCTION("""COMPUTED_VALUE"""),"Hylocereus polyrhizus")</f>
        <v>Hylocereus polyrhizus</v>
      </c>
      <c r="E544" s="8" t="str">
        <f>IFERROR(__xludf.DUMMYFUNCTION("""COMPUTED_VALUE"""),"Red Vietnamese")</f>
        <v>Red Vietnamese</v>
      </c>
      <c r="F544" s="8" t="str">
        <f>IFERROR(__xludf.DUMMYFUNCTION("""COMPUTED_VALUE"""),"Dragon Fruit")</f>
        <v>Dragon Fruit</v>
      </c>
      <c r="G544" s="8" t="str">
        <f>IFERROR(__xludf.DUMMYFUNCTION("""COMPUTED_VALUE"""),"Fruit du dragon")</f>
        <v>Fruit du dragon</v>
      </c>
      <c r="H544" s="8" t="str">
        <f>IFERROR(__xludf.DUMMYFUNCTION("""COMPUTED_VALUE"""),"Dragon Fruit")</f>
        <v>Dragon Fruit</v>
      </c>
      <c r="I544" s="8" t="str">
        <f>IFERROR(__xludf.DUMMYFUNCTION("""COMPUTED_VALUE"""),"D12")</f>
        <v>D12</v>
      </c>
      <c r="J544" s="8"/>
      <c r="K544" s="8">
        <f>IFERROR(__xludf.DUMMYFUNCTION("""COMPUTED_VALUE"""),648.0)</f>
        <v>648</v>
      </c>
      <c r="L544" s="8" t="str">
        <f>IFERROR(__xludf.DUMMYFUNCTION("""COMPUTED_VALUE"""),"multiple")</f>
        <v>multiple</v>
      </c>
      <c r="M544" s="8">
        <f>IFERROR(__xludf.DUMMYFUNCTION("""COMPUTED_VALUE"""),0.0)</f>
        <v>0</v>
      </c>
      <c r="N544" s="8">
        <f>IFERROR(__xludf.DUMMYFUNCTION("""COMPUTED_VALUE"""),0.0)</f>
        <v>0</v>
      </c>
      <c r="O544" s="8"/>
      <c r="P544" s="8"/>
      <c r="Q544" s="8"/>
      <c r="R544" s="8"/>
      <c r="S544" s="8"/>
      <c r="T544" s="8"/>
      <c r="U544" s="8"/>
      <c r="V544" s="8"/>
      <c r="W544" s="8"/>
      <c r="X544" s="8"/>
      <c r="Y544" s="8"/>
      <c r="Z544" s="8"/>
    </row>
    <row r="545">
      <c r="A545" s="8">
        <f>IFERROR(__xludf.DUMMYFUNCTION("""COMPUTED_VALUE"""),886.0)</f>
        <v>886</v>
      </c>
      <c r="B545" s="8" t="str">
        <f>IFERROR(__xludf.DUMMYFUNCTION("""COMPUTED_VALUE"""),"perennial")</f>
        <v>perennial</v>
      </c>
      <c r="C545" s="8" t="str">
        <f>IFERROR(__xludf.DUMMYFUNCTION("""COMPUTED_VALUE"""),"cutting")</f>
        <v>cutting</v>
      </c>
      <c r="D545" s="55" t="str">
        <f>IFERROR(__xludf.DUMMYFUNCTION("""COMPUTED_VALUE"""),"Hylocereus polyrhizus")</f>
        <v>Hylocereus polyrhizus</v>
      </c>
      <c r="E545" s="8" t="str">
        <f>IFERROR(__xludf.DUMMYFUNCTION("""COMPUTED_VALUE"""),"Ax")</f>
        <v>Ax</v>
      </c>
      <c r="F545" s="8" t="str">
        <f>IFERROR(__xludf.DUMMYFUNCTION("""COMPUTED_VALUE"""),"Dragon Fruit")</f>
        <v>Dragon Fruit</v>
      </c>
      <c r="G545" s="8" t="str">
        <f>IFERROR(__xludf.DUMMYFUNCTION("""COMPUTED_VALUE"""),"Fruit du dragon")</f>
        <v>Fruit du dragon</v>
      </c>
      <c r="H545" s="8" t="str">
        <f>IFERROR(__xludf.DUMMYFUNCTION("""COMPUTED_VALUE"""),"Dragon Fruit")</f>
        <v>Dragon Fruit</v>
      </c>
      <c r="I545" s="8" t="str">
        <f>IFERROR(__xludf.DUMMYFUNCTION("""COMPUTED_VALUE"""),"D15")</f>
        <v>D15</v>
      </c>
      <c r="J545" s="8"/>
      <c r="K545" s="8">
        <f>IFERROR(__xludf.DUMMYFUNCTION("""COMPUTED_VALUE"""),607.0)</f>
        <v>607</v>
      </c>
      <c r="L545" s="8" t="str">
        <f>IFERROR(__xludf.DUMMYFUNCTION("""COMPUTED_VALUE"""),"multiple")</f>
        <v>multiple</v>
      </c>
      <c r="M545" s="8">
        <f>IFERROR(__xludf.DUMMYFUNCTION("""COMPUTED_VALUE"""),0.0)</f>
        <v>0</v>
      </c>
      <c r="N545" s="8">
        <f>IFERROR(__xludf.DUMMYFUNCTION("""COMPUTED_VALUE"""),0.0)</f>
        <v>0</v>
      </c>
      <c r="O545" s="8"/>
      <c r="P545" s="8"/>
      <c r="Q545" s="8"/>
      <c r="R545" s="8"/>
      <c r="S545" s="8"/>
      <c r="T545" s="8"/>
      <c r="U545" s="8"/>
      <c r="V545" s="8"/>
      <c r="W545" s="8"/>
      <c r="X545" s="8"/>
      <c r="Y545" s="8"/>
      <c r="Z545" s="8"/>
    </row>
    <row r="546">
      <c r="A546" s="8">
        <f>IFERROR(__xludf.DUMMYFUNCTION("""COMPUTED_VALUE"""),887.0)</f>
        <v>887</v>
      </c>
      <c r="B546" s="8" t="str">
        <f>IFERROR(__xludf.DUMMYFUNCTION("""COMPUTED_VALUE"""),"perennial")</f>
        <v>perennial</v>
      </c>
      <c r="C546" s="8" t="str">
        <f>IFERROR(__xludf.DUMMYFUNCTION("""COMPUTED_VALUE"""),"cutting")</f>
        <v>cutting</v>
      </c>
      <c r="D546" s="55" t="str">
        <f>IFERROR(__xludf.DUMMYFUNCTION("""COMPUTED_VALUE"""),"Selenicereus megalanthus")</f>
        <v>Selenicereus megalanthus</v>
      </c>
      <c r="E546" s="8" t="str">
        <f>IFERROR(__xludf.DUMMYFUNCTION("""COMPUTED_VALUE"""),"Yellow Dragon")</f>
        <v>Yellow Dragon</v>
      </c>
      <c r="F546" s="8" t="str">
        <f>IFERROR(__xludf.DUMMYFUNCTION("""COMPUTED_VALUE"""),"Dragon Fruit")</f>
        <v>Dragon Fruit</v>
      </c>
      <c r="G546" s="8" t="str">
        <f>IFERROR(__xludf.DUMMYFUNCTION("""COMPUTED_VALUE"""),"Fruit du dragon jaune")</f>
        <v>Fruit du dragon jaune</v>
      </c>
      <c r="H546" s="8" t="str">
        <f>IFERROR(__xludf.DUMMYFUNCTION("""COMPUTED_VALUE"""),"Yellow Dragon Fruit")</f>
        <v>Yellow Dragon Fruit</v>
      </c>
      <c r="I546" s="8" t="str">
        <f>IFERROR(__xludf.DUMMYFUNCTION("""COMPUTED_VALUE"""),"D14")</f>
        <v>D14</v>
      </c>
      <c r="J546" s="8"/>
      <c r="K546" s="8">
        <f>IFERROR(__xludf.DUMMYFUNCTION("""COMPUTED_VALUE"""),672.0)</f>
        <v>672</v>
      </c>
      <c r="L546" s="8" t="str">
        <f>IFERROR(__xludf.DUMMYFUNCTION("""COMPUTED_VALUE"""),"multiple")</f>
        <v>multiple</v>
      </c>
      <c r="M546" s="8">
        <f>IFERROR(__xludf.DUMMYFUNCTION("""COMPUTED_VALUE"""),0.0)</f>
        <v>0</v>
      </c>
      <c r="N546" s="8">
        <f>IFERROR(__xludf.DUMMYFUNCTION("""COMPUTED_VALUE"""),0.0)</f>
        <v>0</v>
      </c>
      <c r="O546" s="8"/>
      <c r="P546" s="8"/>
      <c r="Q546" s="8"/>
      <c r="R546" s="8"/>
      <c r="S546" s="8"/>
      <c r="T546" s="8"/>
      <c r="U546" s="8"/>
      <c r="V546" s="8"/>
      <c r="W546" s="8"/>
      <c r="X546" s="8"/>
      <c r="Y546" s="8"/>
      <c r="Z546" s="8"/>
    </row>
    <row r="547">
      <c r="A547" s="8">
        <f>IFERROR(__xludf.DUMMYFUNCTION("""COMPUTED_VALUE"""),888.0)</f>
        <v>888</v>
      </c>
      <c r="B547" s="8" t="str">
        <f>IFERROR(__xludf.DUMMYFUNCTION("""COMPUTED_VALUE"""),"perennial")</f>
        <v>perennial</v>
      </c>
      <c r="C547" s="8" t="str">
        <f>IFERROR(__xludf.DUMMYFUNCTION("""COMPUTED_VALUE"""),"cutting")</f>
        <v>cutting</v>
      </c>
      <c r="D547" s="55" t="str">
        <f>IFERROR(__xludf.DUMMYFUNCTION("""COMPUTED_VALUE"""),"Hylocereus polyrhizus")</f>
        <v>Hylocereus polyrhizus</v>
      </c>
      <c r="E547" s="8" t="str">
        <f>IFERROR(__xludf.DUMMYFUNCTION("""COMPUTED_VALUE"""),"American Beauty")</f>
        <v>American Beauty</v>
      </c>
      <c r="F547" s="8" t="str">
        <f>IFERROR(__xludf.DUMMYFUNCTION("""COMPUTED_VALUE"""),"Dragon Fruit")</f>
        <v>Dragon Fruit</v>
      </c>
      <c r="G547" s="8" t="str">
        <f>IFERROR(__xludf.DUMMYFUNCTION("""COMPUTED_VALUE"""),"Fruit du dragon")</f>
        <v>Fruit du dragon</v>
      </c>
      <c r="H547" s="8" t="str">
        <f>IFERROR(__xludf.DUMMYFUNCTION("""COMPUTED_VALUE"""),"Dragon Fruit")</f>
        <v>Dragon Fruit</v>
      </c>
      <c r="I547" s="8"/>
      <c r="J547" s="8"/>
      <c r="K547" s="8">
        <f>IFERROR(__xludf.DUMMYFUNCTION("""COMPUTED_VALUE"""),602.0)</f>
        <v>602</v>
      </c>
      <c r="L547" s="8" t="str">
        <f>IFERROR(__xludf.DUMMYFUNCTION("""COMPUTED_VALUE"""),"multiple")</f>
        <v>multiple</v>
      </c>
      <c r="M547" s="8">
        <f>IFERROR(__xludf.DUMMYFUNCTION("""COMPUTED_VALUE"""),0.0)</f>
        <v>0</v>
      </c>
      <c r="N547" s="8">
        <f>IFERROR(__xludf.DUMMYFUNCTION("""COMPUTED_VALUE"""),0.0)</f>
        <v>0</v>
      </c>
      <c r="O547" s="8"/>
      <c r="P547" s="8"/>
      <c r="Q547" s="8"/>
      <c r="R547" s="8"/>
      <c r="S547" s="8"/>
      <c r="T547" s="8"/>
      <c r="U547" s="8"/>
      <c r="V547" s="8"/>
      <c r="W547" s="8"/>
      <c r="X547" s="8"/>
      <c r="Y547" s="8"/>
      <c r="Z547" s="8"/>
    </row>
    <row r="548">
      <c r="A548" s="8">
        <f>IFERROR(__xludf.DUMMYFUNCTION("""COMPUTED_VALUE"""),889.0)</f>
        <v>889</v>
      </c>
      <c r="B548" s="8" t="str">
        <f>IFERROR(__xludf.DUMMYFUNCTION("""COMPUTED_VALUE"""),"tree")</f>
        <v>tree</v>
      </c>
      <c r="C548" s="8" t="str">
        <f>IFERROR(__xludf.DUMMYFUNCTION("""COMPUTED_VALUE"""),"cutting")</f>
        <v>cutting</v>
      </c>
      <c r="D548" s="55" t="str">
        <f>IFERROR(__xludf.DUMMYFUNCTION("""COMPUTED_VALUE"""),"Spondias purpurea")</f>
        <v>Spondias purpurea</v>
      </c>
      <c r="E548" s="8" t="str">
        <f>IFERROR(__xludf.DUMMYFUNCTION("""COMPUTED_VALUE"""),"Red")</f>
        <v>Red</v>
      </c>
      <c r="F548" s="8" t="str">
        <f>IFERROR(__xludf.DUMMYFUNCTION("""COMPUTED_VALUE"""),"Mombin")</f>
        <v>Mombin</v>
      </c>
      <c r="G548" s="8" t="str">
        <f>IFERROR(__xludf.DUMMYFUNCTION("""COMPUTED_VALUE"""),"Prunier d'Espagne")</f>
        <v>Prunier d'Espagne</v>
      </c>
      <c r="H548" s="8" t="str">
        <f>IFERROR(__xludf.DUMMYFUNCTION("""COMPUTED_VALUE"""),"Mombin")</f>
        <v>Mombin</v>
      </c>
      <c r="I548" s="8" t="str">
        <f>IFERROR(__xludf.DUMMYFUNCTION("""COMPUTED_VALUE"""),"195")</f>
        <v>195</v>
      </c>
      <c r="J548" s="8"/>
      <c r="K548" s="8">
        <f>IFERROR(__xludf.DUMMYFUNCTION("""COMPUTED_VALUE"""),9059.0)</f>
        <v>9059</v>
      </c>
      <c r="L548" s="8"/>
      <c r="M548" s="8">
        <f>IFERROR(__xludf.DUMMYFUNCTION("""COMPUTED_VALUE"""),2.0)</f>
        <v>2</v>
      </c>
      <c r="N548" s="8">
        <f>IFERROR(__xludf.DUMMYFUNCTION("""COMPUTED_VALUE"""),2.0)</f>
        <v>2</v>
      </c>
      <c r="O548" s="8"/>
      <c r="P548" s="8"/>
      <c r="Q548" s="8"/>
      <c r="R548" s="8"/>
      <c r="S548" s="8"/>
      <c r="T548" s="8"/>
      <c r="U548" s="8"/>
      <c r="V548" s="8"/>
      <c r="W548" s="8"/>
      <c r="X548" s="8"/>
      <c r="Y548" s="8"/>
      <c r="Z548" s="8"/>
    </row>
    <row r="549">
      <c r="A549" s="8">
        <f>IFERROR(__xludf.DUMMYFUNCTION("""COMPUTED_VALUE"""),890.0)</f>
        <v>890</v>
      </c>
      <c r="B549" s="8" t="str">
        <f>IFERROR(__xludf.DUMMYFUNCTION("""COMPUTED_VALUE"""),"tree")</f>
        <v>tree</v>
      </c>
      <c r="C549" s="8" t="str">
        <f>IFERROR(__xludf.DUMMYFUNCTION("""COMPUTED_VALUE"""),"cutting")</f>
        <v>cutting</v>
      </c>
      <c r="D549" s="55" t="str">
        <f>IFERROR(__xludf.DUMMYFUNCTION("""COMPUTED_VALUE"""),"Spondias purpurea")</f>
        <v>Spondias purpurea</v>
      </c>
      <c r="E549" s="8" t="str">
        <f>IFERROR(__xludf.DUMMYFUNCTION("""COMPUTED_VALUE"""),"Red")</f>
        <v>Red</v>
      </c>
      <c r="F549" s="8" t="str">
        <f>IFERROR(__xludf.DUMMYFUNCTION("""COMPUTED_VALUE"""),"Mombin")</f>
        <v>Mombin</v>
      </c>
      <c r="G549" s="8" t="str">
        <f>IFERROR(__xludf.DUMMYFUNCTION("""COMPUTED_VALUE"""),"Prunier d'Espagne")</f>
        <v>Prunier d'Espagne</v>
      </c>
      <c r="H549" s="8" t="str">
        <f>IFERROR(__xludf.DUMMYFUNCTION("""COMPUTED_VALUE"""),"Mombin")</f>
        <v>Mombin</v>
      </c>
      <c r="I549" s="8" t="str">
        <f>IFERROR(__xludf.DUMMYFUNCTION("""COMPUTED_VALUE"""),"M20")</f>
        <v>M20</v>
      </c>
      <c r="J549" s="8"/>
      <c r="K549" s="8">
        <f>IFERROR(__xludf.DUMMYFUNCTION("""COMPUTED_VALUE"""),9187.0)</f>
        <v>9187</v>
      </c>
      <c r="L549" s="8"/>
      <c r="M549" s="8">
        <f>IFERROR(__xludf.DUMMYFUNCTION("""COMPUTED_VALUE"""),2.0)</f>
        <v>2</v>
      </c>
      <c r="N549" s="8">
        <f>IFERROR(__xludf.DUMMYFUNCTION("""COMPUTED_VALUE"""),2.0)</f>
        <v>2</v>
      </c>
      <c r="O549" s="8"/>
      <c r="P549" s="8"/>
      <c r="Q549" s="8"/>
      <c r="R549" s="8"/>
      <c r="S549" s="8"/>
      <c r="T549" s="8"/>
      <c r="U549" s="8"/>
      <c r="V549" s="8"/>
      <c r="W549" s="8"/>
      <c r="X549" s="8"/>
      <c r="Y549" s="8"/>
      <c r="Z549" s="8"/>
    </row>
    <row r="550">
      <c r="A550" s="8">
        <f>IFERROR(__xludf.DUMMYFUNCTION("""COMPUTED_VALUE"""),891.0)</f>
        <v>891</v>
      </c>
      <c r="B550" s="8" t="str">
        <f>IFERROR(__xludf.DUMMYFUNCTION("""COMPUTED_VALUE"""),"tree")</f>
        <v>tree</v>
      </c>
      <c r="C550" s="8" t="str">
        <f>IFERROR(__xludf.DUMMYFUNCTION("""COMPUTED_VALUE"""),"graft")</f>
        <v>graft</v>
      </c>
      <c r="D550" s="55" t="str">
        <f>IFERROR(__xludf.DUMMYFUNCTION("""COMPUTED_VALUE"""),"Pouteria sapota")</f>
        <v>Pouteria sapota</v>
      </c>
      <c r="E550" s="8" t="str">
        <f>IFERROR(__xludf.DUMMYFUNCTION("""COMPUTED_VALUE"""),"Seedling")</f>
        <v>Seedling</v>
      </c>
      <c r="F550" s="8" t="str">
        <f>IFERROR(__xludf.DUMMYFUNCTION("""COMPUTED_VALUE"""),"Mamey Sapote")</f>
        <v>Mamey Sapote</v>
      </c>
      <c r="G550" s="8" t="str">
        <f>IFERROR(__xludf.DUMMYFUNCTION("""COMPUTED_VALUE"""),"Sapote Mamey")</f>
        <v>Sapote Mamey</v>
      </c>
      <c r="H550" s="8" t="str">
        <f>IFERROR(__xludf.DUMMYFUNCTION("""COMPUTED_VALUE"""),"Mamey Sapote")</f>
        <v>Mamey Sapote</v>
      </c>
      <c r="I550" s="8" t="str">
        <f>IFERROR(__xludf.DUMMYFUNCTION("""COMPUTED_VALUE"""),"165")</f>
        <v>165</v>
      </c>
      <c r="J550" s="8"/>
      <c r="K550" s="8"/>
      <c r="L550" s="8" t="str">
        <f>IFERROR(__xludf.DUMMYFUNCTION("""COMPUTED_VALUE"""),"multiple")</f>
        <v>multiple</v>
      </c>
      <c r="M550" s="8">
        <f>IFERROR(__xludf.DUMMYFUNCTION("""COMPUTED_VALUE"""),1.0)</f>
        <v>1</v>
      </c>
      <c r="N550" s="8">
        <f>IFERROR(__xludf.DUMMYFUNCTION("""COMPUTED_VALUE"""),1.0)</f>
        <v>1</v>
      </c>
      <c r="O550" s="8"/>
      <c r="P550" s="8"/>
      <c r="Q550" s="8"/>
      <c r="R550" s="8"/>
      <c r="S550" s="8"/>
      <c r="T550" s="8"/>
      <c r="U550" s="8"/>
      <c r="V550" s="8"/>
      <c r="W550" s="8"/>
      <c r="X550" s="8"/>
      <c r="Y550" s="8"/>
      <c r="Z550" s="8"/>
    </row>
    <row r="551">
      <c r="A551" s="8">
        <f>IFERROR(__xludf.DUMMYFUNCTION("""COMPUTED_VALUE"""),892.0)</f>
        <v>892</v>
      </c>
      <c r="B551" s="8" t="str">
        <f>IFERROR(__xludf.DUMMYFUNCTION("""COMPUTED_VALUE"""),"tree")</f>
        <v>tree</v>
      </c>
      <c r="C551" s="8" t="str">
        <f>IFERROR(__xludf.DUMMYFUNCTION("""COMPUTED_VALUE"""),"graft")</f>
        <v>graft</v>
      </c>
      <c r="D551" s="55" t="str">
        <f>IFERROR(__xludf.DUMMYFUNCTION("""COMPUTED_VALUE"""),"Chrysophyllum cainito")</f>
        <v>Chrysophyllum cainito</v>
      </c>
      <c r="E551" s="8" t="str">
        <f>IFERROR(__xludf.DUMMYFUNCTION("""COMPUTED_VALUE"""),"Seedling")</f>
        <v>Seedling</v>
      </c>
      <c r="F551" s="8" t="str">
        <f>IFERROR(__xludf.DUMMYFUNCTION("""COMPUTED_VALUE"""),"Caimito")</f>
        <v>Caimito</v>
      </c>
      <c r="G551" s="8" t="str">
        <f>IFERROR(__xludf.DUMMYFUNCTION("""COMPUTED_VALUE"""),"Pomme étoile")</f>
        <v>Pomme étoile</v>
      </c>
      <c r="H551" s="8" t="str">
        <f>IFERROR(__xludf.DUMMYFUNCTION("""COMPUTED_VALUE"""),"seed")</f>
        <v>seed</v>
      </c>
      <c r="I551" s="8" t="str">
        <f>IFERROR(__xludf.DUMMYFUNCTION("""COMPUTED_VALUE"""),"087")</f>
        <v>087</v>
      </c>
      <c r="J551" s="8"/>
      <c r="K551" s="8"/>
      <c r="L551" s="8" t="str">
        <f>IFERROR(__xludf.DUMMYFUNCTION("""COMPUTED_VALUE"""),"multiple")</f>
        <v>multiple</v>
      </c>
      <c r="M551" s="8">
        <f>IFERROR(__xludf.DUMMYFUNCTION("""COMPUTED_VALUE"""),1.0)</f>
        <v>1</v>
      </c>
      <c r="N551" s="8">
        <f>IFERROR(__xludf.DUMMYFUNCTION("""COMPUTED_VALUE"""),1.0)</f>
        <v>1</v>
      </c>
      <c r="O551" s="8"/>
      <c r="P551" s="8"/>
      <c r="Q551" s="8"/>
      <c r="R551" s="8"/>
      <c r="S551" s="8"/>
      <c r="T551" s="8"/>
      <c r="U551" s="8"/>
      <c r="V551" s="8"/>
      <c r="W551" s="8"/>
      <c r="X551" s="8"/>
      <c r="Y551" s="8"/>
      <c r="Z551" s="8"/>
    </row>
    <row r="552">
      <c r="A552" s="8">
        <f>IFERROR(__xludf.DUMMYFUNCTION("""COMPUTED_VALUE"""),893.0)</f>
        <v>893</v>
      </c>
      <c r="B552" s="8" t="str">
        <f>IFERROR(__xludf.DUMMYFUNCTION("""COMPUTED_VALUE"""),"tree")</f>
        <v>tree</v>
      </c>
      <c r="C552" s="8" t="str">
        <f>IFERROR(__xludf.DUMMYFUNCTION("""COMPUTED_VALUE"""),"graft")</f>
        <v>graft</v>
      </c>
      <c r="D552" s="55" t="str">
        <f>IFERROR(__xludf.DUMMYFUNCTION("""COMPUTED_VALUE"""),"Persea americana")</f>
        <v>Persea americana</v>
      </c>
      <c r="E552" s="8" t="str">
        <f>IFERROR(__xludf.DUMMYFUNCTION("""COMPUTED_VALUE"""),"Day")</f>
        <v>Day</v>
      </c>
      <c r="F552" s="8" t="str">
        <f>IFERROR(__xludf.DUMMYFUNCTION("""COMPUTED_VALUE"""),"Avocado")</f>
        <v>Avocado</v>
      </c>
      <c r="G552" s="8" t="str">
        <f>IFERROR(__xludf.DUMMYFUNCTION("""COMPUTED_VALUE"""),"Avocat")</f>
        <v>Avocat</v>
      </c>
      <c r="H552" s="8" t="str">
        <f>IFERROR(__xludf.DUMMYFUNCTION("""COMPUTED_VALUE"""),"Avocado")</f>
        <v>Avocado</v>
      </c>
      <c r="I552" s="8" t="str">
        <f>IFERROR(__xludf.DUMMYFUNCTION("""COMPUTED_VALUE"""),"111")</f>
        <v>111</v>
      </c>
      <c r="J552" s="8"/>
      <c r="K552" s="8"/>
      <c r="L552" s="8">
        <f>IFERROR(__xludf.DUMMYFUNCTION("""COMPUTED_VALUE"""),1.0)</f>
        <v>1</v>
      </c>
      <c r="M552" s="8">
        <f>IFERROR(__xludf.DUMMYFUNCTION("""COMPUTED_VALUE"""),3.0)</f>
        <v>3</v>
      </c>
      <c r="N552" s="8">
        <f>IFERROR(__xludf.DUMMYFUNCTION("""COMPUTED_VALUE"""),3.0)</f>
        <v>3</v>
      </c>
      <c r="O552" s="8"/>
      <c r="P552" s="8"/>
      <c r="Q552" s="8"/>
      <c r="R552" s="8"/>
      <c r="S552" s="8"/>
      <c r="T552" s="8"/>
      <c r="U552" s="8"/>
      <c r="V552" s="8"/>
      <c r="W552" s="8"/>
      <c r="X552" s="8"/>
      <c r="Y552" s="8"/>
      <c r="Z552" s="8"/>
    </row>
    <row r="553">
      <c r="A553" s="8">
        <f>IFERROR(__xludf.DUMMYFUNCTION("""COMPUTED_VALUE"""),894.0)</f>
        <v>894</v>
      </c>
      <c r="B553" s="8" t="str">
        <f>IFERROR(__xludf.DUMMYFUNCTION("""COMPUTED_VALUE"""),"tree")</f>
        <v>tree</v>
      </c>
      <c r="C553" s="8" t="str">
        <f>IFERROR(__xludf.DUMMYFUNCTION("""COMPUTED_VALUE"""),"graft")</f>
        <v>graft</v>
      </c>
      <c r="D553" s="55" t="str">
        <f>IFERROR(__xludf.DUMMYFUNCTION("""COMPUTED_VALUE"""),"Persea americana")</f>
        <v>Persea americana</v>
      </c>
      <c r="E553" s="8" t="str">
        <f>IFERROR(__xludf.DUMMYFUNCTION("""COMPUTED_VALUE"""),"Bernecker")</f>
        <v>Bernecker</v>
      </c>
      <c r="F553" s="8" t="str">
        <f>IFERROR(__xludf.DUMMYFUNCTION("""COMPUTED_VALUE"""),"Avocado")</f>
        <v>Avocado</v>
      </c>
      <c r="G553" s="8" t="str">
        <f>IFERROR(__xludf.DUMMYFUNCTION("""COMPUTED_VALUE"""),"Avocat")</f>
        <v>Avocat</v>
      </c>
      <c r="H553" s="8" t="str">
        <f>IFERROR(__xludf.DUMMYFUNCTION("""COMPUTED_VALUE"""),"Avocado")</f>
        <v>Avocado</v>
      </c>
      <c r="I553" s="8" t="str">
        <f>IFERROR(__xludf.DUMMYFUNCTION("""COMPUTED_VALUE"""),"114")</f>
        <v>114</v>
      </c>
      <c r="J553" s="8"/>
      <c r="K553" s="8">
        <f>IFERROR(__xludf.DUMMYFUNCTION("""COMPUTED_VALUE"""),9000.0)</f>
        <v>9000</v>
      </c>
      <c r="L553" s="8">
        <f>IFERROR(__xludf.DUMMYFUNCTION("""COMPUTED_VALUE"""),1.0)</f>
        <v>1</v>
      </c>
      <c r="M553" s="8">
        <f>IFERROR(__xludf.DUMMYFUNCTION("""COMPUTED_VALUE"""),2.0)</f>
        <v>2</v>
      </c>
      <c r="N553" s="8">
        <f>IFERROR(__xludf.DUMMYFUNCTION("""COMPUTED_VALUE"""),3.0)</f>
        <v>3</v>
      </c>
      <c r="O553" s="8"/>
      <c r="P553" s="8"/>
      <c r="Q553" s="8"/>
      <c r="R553" s="8"/>
      <c r="S553" s="8"/>
      <c r="T553" s="8"/>
      <c r="U553" s="8"/>
      <c r="V553" s="8"/>
      <c r="W553" s="8"/>
      <c r="X553" s="8"/>
      <c r="Y553" s="8"/>
      <c r="Z553" s="8"/>
    </row>
    <row r="554">
      <c r="A554" s="8">
        <f>IFERROR(__xludf.DUMMYFUNCTION("""COMPUTED_VALUE"""),895.0)</f>
        <v>895</v>
      </c>
      <c r="B554" s="8" t="str">
        <f>IFERROR(__xludf.DUMMYFUNCTION("""COMPUTED_VALUE"""),"tree")</f>
        <v>tree</v>
      </c>
      <c r="C554" s="8" t="str">
        <f>IFERROR(__xludf.DUMMYFUNCTION("""COMPUTED_VALUE"""),"graft")</f>
        <v>graft</v>
      </c>
      <c r="D554" s="55" t="str">
        <f>IFERROR(__xludf.DUMMYFUNCTION("""COMPUTED_VALUE"""),"Persea americana")</f>
        <v>Persea americana</v>
      </c>
      <c r="E554" s="8" t="str">
        <f>IFERROR(__xludf.DUMMYFUNCTION("""COMPUTED_VALUE"""),"Booth 7")</f>
        <v>Booth 7</v>
      </c>
      <c r="F554" s="8" t="str">
        <f>IFERROR(__xludf.DUMMYFUNCTION("""COMPUTED_VALUE"""),"Avocado")</f>
        <v>Avocado</v>
      </c>
      <c r="G554" s="8" t="str">
        <f>IFERROR(__xludf.DUMMYFUNCTION("""COMPUTED_VALUE"""),"Avocat")</f>
        <v>Avocat</v>
      </c>
      <c r="H554" s="8" t="str">
        <f>IFERROR(__xludf.DUMMYFUNCTION("""COMPUTED_VALUE"""),"Avocado")</f>
        <v>Avocado</v>
      </c>
      <c r="I554" s="8" t="str">
        <f>IFERROR(__xludf.DUMMYFUNCTION("""COMPUTED_VALUE"""),"158")</f>
        <v>158</v>
      </c>
      <c r="J554" s="8"/>
      <c r="K554" s="8">
        <f>IFERROR(__xludf.DUMMYFUNCTION("""COMPUTED_VALUE"""),9004.0)</f>
        <v>9004</v>
      </c>
      <c r="L554" s="8">
        <f>IFERROR(__xludf.DUMMYFUNCTION("""COMPUTED_VALUE"""),1.0)</f>
        <v>1</v>
      </c>
      <c r="M554" s="8">
        <f>IFERROR(__xludf.DUMMYFUNCTION("""COMPUTED_VALUE"""),1.0)</f>
        <v>1</v>
      </c>
      <c r="N554" s="8">
        <f>IFERROR(__xludf.DUMMYFUNCTION("""COMPUTED_VALUE"""),1.0)</f>
        <v>1</v>
      </c>
      <c r="O554" s="8"/>
      <c r="P554" s="8"/>
      <c r="Q554" s="8"/>
      <c r="R554" s="8"/>
      <c r="S554" s="8"/>
      <c r="T554" s="8"/>
      <c r="U554" s="8"/>
      <c r="V554" s="8"/>
      <c r="W554" s="8"/>
      <c r="X554" s="8"/>
      <c r="Y554" s="8"/>
      <c r="Z554" s="8"/>
    </row>
    <row r="555">
      <c r="A555" s="8">
        <f>IFERROR(__xludf.DUMMYFUNCTION("""COMPUTED_VALUE"""),896.0)</f>
        <v>896</v>
      </c>
      <c r="B555" s="8" t="str">
        <f>IFERROR(__xludf.DUMMYFUNCTION("""COMPUTED_VALUE"""),"tree")</f>
        <v>tree</v>
      </c>
      <c r="C555" s="8" t="str">
        <f>IFERROR(__xludf.DUMMYFUNCTION("""COMPUTED_VALUE"""),"graft")</f>
        <v>graft</v>
      </c>
      <c r="D555" s="55" t="str">
        <f>IFERROR(__xludf.DUMMYFUNCTION("""COMPUTED_VALUE"""),"Persea americana")</f>
        <v>Persea americana</v>
      </c>
      <c r="E555" s="8" t="str">
        <f>IFERROR(__xludf.DUMMYFUNCTION("""COMPUTED_VALUE"""),"Brooks Late")</f>
        <v>Brooks Late</v>
      </c>
      <c r="F555" s="8" t="str">
        <f>IFERROR(__xludf.DUMMYFUNCTION("""COMPUTED_VALUE"""),"Avocado")</f>
        <v>Avocado</v>
      </c>
      <c r="G555" s="8" t="str">
        <f>IFERROR(__xludf.DUMMYFUNCTION("""COMPUTED_VALUE"""),"Avocat")</f>
        <v>Avocat</v>
      </c>
      <c r="H555" s="8" t="str">
        <f>IFERROR(__xludf.DUMMYFUNCTION("""COMPUTED_VALUE"""),"Avocado")</f>
        <v>Avocado</v>
      </c>
      <c r="I555" s="8" t="str">
        <f>IFERROR(__xludf.DUMMYFUNCTION("""COMPUTED_VALUE"""),"100A")</f>
        <v>100A</v>
      </c>
      <c r="J555" s="8"/>
      <c r="K555" s="8">
        <f>IFERROR(__xludf.DUMMYFUNCTION("""COMPUTED_VALUE"""),9007.0)</f>
        <v>9007</v>
      </c>
      <c r="L555" s="8">
        <f>IFERROR(__xludf.DUMMYFUNCTION("""COMPUTED_VALUE"""),1.0)</f>
        <v>1</v>
      </c>
      <c r="M555" s="8">
        <f>IFERROR(__xludf.DUMMYFUNCTION("""COMPUTED_VALUE"""),3.0)</f>
        <v>3</v>
      </c>
      <c r="N555" s="8">
        <f>IFERROR(__xludf.DUMMYFUNCTION("""COMPUTED_VALUE"""),4.0)</f>
        <v>4</v>
      </c>
      <c r="O555" s="8"/>
      <c r="P555" s="8"/>
      <c r="Q555" s="8"/>
      <c r="R555" s="8"/>
      <c r="S555" s="8"/>
      <c r="T555" s="8"/>
      <c r="U555" s="8"/>
      <c r="V555" s="8"/>
      <c r="W555" s="8"/>
      <c r="X555" s="8"/>
      <c r="Y555" s="8"/>
      <c r="Z555" s="8"/>
    </row>
    <row r="556">
      <c r="A556" s="8">
        <f>IFERROR(__xludf.DUMMYFUNCTION("""COMPUTED_VALUE"""),897.0)</f>
        <v>897</v>
      </c>
      <c r="B556" s="8" t="str">
        <f>IFERROR(__xludf.DUMMYFUNCTION("""COMPUTED_VALUE"""),"tree")</f>
        <v>tree</v>
      </c>
      <c r="C556" s="8" t="str">
        <f>IFERROR(__xludf.DUMMYFUNCTION("""COMPUTED_VALUE"""),"graft")</f>
        <v>graft</v>
      </c>
      <c r="D556" s="55" t="str">
        <f>IFERROR(__xludf.DUMMYFUNCTION("""COMPUTED_VALUE"""),"Persea americana")</f>
        <v>Persea americana</v>
      </c>
      <c r="E556" s="8" t="str">
        <f>IFERROR(__xludf.DUMMYFUNCTION("""COMPUTED_VALUE"""),"Expedition")</f>
        <v>Expedition</v>
      </c>
      <c r="F556" s="8" t="str">
        <f>IFERROR(__xludf.DUMMYFUNCTION("""COMPUTED_VALUE"""),"Avocado")</f>
        <v>Avocado</v>
      </c>
      <c r="G556" s="8" t="str">
        <f>IFERROR(__xludf.DUMMYFUNCTION("""COMPUTED_VALUE"""),"Avocat")</f>
        <v>Avocat</v>
      </c>
      <c r="H556" s="8" t="str">
        <f>IFERROR(__xludf.DUMMYFUNCTION("""COMPUTED_VALUE"""),"Avocado")</f>
        <v>Avocado</v>
      </c>
      <c r="I556" s="8" t="str">
        <f>IFERROR(__xludf.DUMMYFUNCTION("""COMPUTED_VALUE"""),"103")</f>
        <v>103</v>
      </c>
      <c r="J556" s="8"/>
      <c r="K556" s="8">
        <f>IFERROR(__xludf.DUMMYFUNCTION("""COMPUTED_VALUE"""),9011.0)</f>
        <v>9011</v>
      </c>
      <c r="L556" s="8">
        <f>IFERROR(__xludf.DUMMYFUNCTION("""COMPUTED_VALUE"""),1.0)</f>
        <v>1</v>
      </c>
      <c r="M556" s="8">
        <f>IFERROR(__xludf.DUMMYFUNCTION("""COMPUTED_VALUE"""),2.0)</f>
        <v>2</v>
      </c>
      <c r="N556" s="8">
        <f>IFERROR(__xludf.DUMMYFUNCTION("""COMPUTED_VALUE"""),2.0)</f>
        <v>2</v>
      </c>
      <c r="O556" s="8"/>
      <c r="P556" s="8"/>
      <c r="Q556" s="8"/>
      <c r="R556" s="8"/>
      <c r="S556" s="8"/>
      <c r="T556" s="8"/>
      <c r="U556" s="8"/>
      <c r="V556" s="8"/>
      <c r="W556" s="8"/>
      <c r="X556" s="8"/>
      <c r="Y556" s="8"/>
      <c r="Z556" s="8"/>
    </row>
    <row r="557">
      <c r="A557" s="8">
        <f>IFERROR(__xludf.DUMMYFUNCTION("""COMPUTED_VALUE"""),898.0)</f>
        <v>898</v>
      </c>
      <c r="B557" s="8" t="str">
        <f>IFERROR(__xludf.DUMMYFUNCTION("""COMPUTED_VALUE"""),"tree")</f>
        <v>tree</v>
      </c>
      <c r="C557" s="8" t="str">
        <f>IFERROR(__xludf.DUMMYFUNCTION("""COMPUTED_VALUE"""),"graft")</f>
        <v>graft</v>
      </c>
      <c r="D557" s="55" t="str">
        <f>IFERROR(__xludf.DUMMYFUNCTION("""COMPUTED_VALUE"""),"Persea americana")</f>
        <v>Persea americana</v>
      </c>
      <c r="E557" s="8" t="str">
        <f>IFERROR(__xludf.DUMMYFUNCTION("""COMPUTED_VALUE"""),"Improved Pollock")</f>
        <v>Improved Pollock</v>
      </c>
      <c r="F557" s="8" t="str">
        <f>IFERROR(__xludf.DUMMYFUNCTION("""COMPUTED_VALUE"""),"Avocado")</f>
        <v>Avocado</v>
      </c>
      <c r="G557" s="8" t="str">
        <f>IFERROR(__xludf.DUMMYFUNCTION("""COMPUTED_VALUE"""),"Avocat")</f>
        <v>Avocat</v>
      </c>
      <c r="H557" s="8" t="str">
        <f>IFERROR(__xludf.DUMMYFUNCTION("""COMPUTED_VALUE"""),"Avocado")</f>
        <v>Avocado</v>
      </c>
      <c r="I557" s="8" t="str">
        <f>IFERROR(__xludf.DUMMYFUNCTION("""COMPUTED_VALUE"""),"102A")</f>
        <v>102A</v>
      </c>
      <c r="J557" s="8"/>
      <c r="K557" s="8">
        <f>IFERROR(__xludf.DUMMYFUNCTION("""COMPUTED_VALUE"""),9012.0)</f>
        <v>9012</v>
      </c>
      <c r="L557" s="8">
        <f>IFERROR(__xludf.DUMMYFUNCTION("""COMPUTED_VALUE"""),1.0)</f>
        <v>1</v>
      </c>
      <c r="M557" s="8">
        <f>IFERROR(__xludf.DUMMYFUNCTION("""COMPUTED_VALUE"""),0.0)</f>
        <v>0</v>
      </c>
      <c r="N557" s="8">
        <f>IFERROR(__xludf.DUMMYFUNCTION("""COMPUTED_VALUE"""),0.0)</f>
        <v>0</v>
      </c>
      <c r="O557" s="8"/>
      <c r="P557" s="8"/>
      <c r="Q557" s="8"/>
      <c r="R557" s="8"/>
      <c r="S557" s="8"/>
      <c r="T557" s="8"/>
      <c r="U557" s="8"/>
      <c r="V557" s="8"/>
      <c r="W557" s="8"/>
      <c r="X557" s="8"/>
      <c r="Y557" s="8"/>
      <c r="Z557" s="8"/>
    </row>
    <row r="558">
      <c r="A558" s="8">
        <f>IFERROR(__xludf.DUMMYFUNCTION("""COMPUTED_VALUE"""),899.0)</f>
        <v>899</v>
      </c>
      <c r="B558" s="8" t="str">
        <f>IFERROR(__xludf.DUMMYFUNCTION("""COMPUTED_VALUE"""),"tree")</f>
        <v>tree</v>
      </c>
      <c r="C558" s="8" t="str">
        <f>IFERROR(__xludf.DUMMYFUNCTION("""COMPUTED_VALUE"""),"graft")</f>
        <v>graft</v>
      </c>
      <c r="D558" s="55" t="str">
        <f>IFERROR(__xludf.DUMMYFUNCTION("""COMPUTED_VALUE"""),"Persea americana")</f>
        <v>Persea americana</v>
      </c>
      <c r="E558" s="8" t="str">
        <f>IFERROR(__xludf.DUMMYFUNCTION("""COMPUTED_VALUE"""),"Miguel")</f>
        <v>Miguel</v>
      </c>
      <c r="F558" s="8" t="str">
        <f>IFERROR(__xludf.DUMMYFUNCTION("""COMPUTED_VALUE"""),"Avocado")</f>
        <v>Avocado</v>
      </c>
      <c r="G558" s="8" t="str">
        <f>IFERROR(__xludf.DUMMYFUNCTION("""COMPUTED_VALUE"""),"Avocat")</f>
        <v>Avocat</v>
      </c>
      <c r="H558" s="8" t="str">
        <f>IFERROR(__xludf.DUMMYFUNCTION("""COMPUTED_VALUE"""),"Avocado")</f>
        <v>Avocado</v>
      </c>
      <c r="I558" s="8" t="str">
        <f>IFERROR(__xludf.DUMMYFUNCTION("""COMPUTED_VALUE"""),"057A")</f>
        <v>057A</v>
      </c>
      <c r="J558" s="8"/>
      <c r="K558" s="8">
        <f>IFERROR(__xludf.DUMMYFUNCTION("""COMPUTED_VALUE"""),9013.0)</f>
        <v>9013</v>
      </c>
      <c r="L558" s="8">
        <f>IFERROR(__xludf.DUMMYFUNCTION("""COMPUTED_VALUE"""),1.0)</f>
        <v>1</v>
      </c>
      <c r="M558" s="8">
        <f>IFERROR(__xludf.DUMMYFUNCTION("""COMPUTED_VALUE"""),1.0)</f>
        <v>1</v>
      </c>
      <c r="N558" s="8">
        <f>IFERROR(__xludf.DUMMYFUNCTION("""COMPUTED_VALUE"""),1.0)</f>
        <v>1</v>
      </c>
      <c r="O558" s="8"/>
      <c r="P558" s="8"/>
      <c r="Q558" s="8"/>
      <c r="R558" s="8"/>
      <c r="S558" s="8"/>
      <c r="T558" s="8"/>
      <c r="U558" s="8"/>
      <c r="V558" s="8"/>
      <c r="W558" s="8"/>
      <c r="X558" s="8"/>
      <c r="Y558" s="8"/>
      <c r="Z558" s="8"/>
    </row>
    <row r="559">
      <c r="A559" s="8">
        <f>IFERROR(__xludf.DUMMYFUNCTION("""COMPUTED_VALUE"""),900.0)</f>
        <v>900</v>
      </c>
      <c r="B559" s="8" t="str">
        <f>IFERROR(__xludf.DUMMYFUNCTION("""COMPUTED_VALUE"""),"tree")</f>
        <v>tree</v>
      </c>
      <c r="C559" s="8" t="str">
        <f>IFERROR(__xludf.DUMMYFUNCTION("""COMPUTED_VALUE"""),"graft")</f>
        <v>graft</v>
      </c>
      <c r="D559" s="55" t="str">
        <f>IFERROR(__xludf.DUMMYFUNCTION("""COMPUTED_VALUE"""),"Persea americana")</f>
        <v>Persea americana</v>
      </c>
      <c r="E559" s="8" t="str">
        <f>IFERROR(__xludf.DUMMYFUNCTION("""COMPUTED_VALUE"""),"Miguel")</f>
        <v>Miguel</v>
      </c>
      <c r="F559" s="8" t="str">
        <f>IFERROR(__xludf.DUMMYFUNCTION("""COMPUTED_VALUE"""),"Avocado")</f>
        <v>Avocado</v>
      </c>
      <c r="G559" s="8" t="str">
        <f>IFERROR(__xludf.DUMMYFUNCTION("""COMPUTED_VALUE"""),"Avocat")</f>
        <v>Avocat</v>
      </c>
      <c r="H559" s="8" t="str">
        <f>IFERROR(__xludf.DUMMYFUNCTION("""COMPUTED_VALUE"""),"Avocado")</f>
        <v>Avocado</v>
      </c>
      <c r="I559" s="8" t="str">
        <f>IFERROR(__xludf.DUMMYFUNCTION("""COMPUTED_VALUE"""),"099A")</f>
        <v>099A</v>
      </c>
      <c r="J559" s="8"/>
      <c r="K559" s="8">
        <f>IFERROR(__xludf.DUMMYFUNCTION("""COMPUTED_VALUE"""),9014.0)</f>
        <v>9014</v>
      </c>
      <c r="L559" s="8">
        <f>IFERROR(__xludf.DUMMYFUNCTION("""COMPUTED_VALUE"""),1.0)</f>
        <v>1</v>
      </c>
      <c r="M559" s="8">
        <f>IFERROR(__xludf.DUMMYFUNCTION("""COMPUTED_VALUE"""),1.0)</f>
        <v>1</v>
      </c>
      <c r="N559" s="8">
        <f>IFERROR(__xludf.DUMMYFUNCTION("""COMPUTED_VALUE"""),1.0)</f>
        <v>1</v>
      </c>
      <c r="O559" s="8"/>
      <c r="P559" s="8"/>
      <c r="Q559" s="8"/>
      <c r="R559" s="8"/>
      <c r="S559" s="8"/>
      <c r="T559" s="8"/>
      <c r="U559" s="8"/>
      <c r="V559" s="8"/>
      <c r="W559" s="8"/>
      <c r="X559" s="8"/>
      <c r="Y559" s="8"/>
      <c r="Z559" s="8"/>
    </row>
    <row r="560">
      <c r="A560" s="8">
        <f>IFERROR(__xludf.DUMMYFUNCTION("""COMPUTED_VALUE"""),901.0)</f>
        <v>901</v>
      </c>
      <c r="B560" s="8" t="str">
        <f>IFERROR(__xludf.DUMMYFUNCTION("""COMPUTED_VALUE"""),"tree")</f>
        <v>tree</v>
      </c>
      <c r="C560" s="8" t="str">
        <f>IFERROR(__xludf.DUMMYFUNCTION("""COMPUTED_VALUE"""),"graft")</f>
        <v>graft</v>
      </c>
      <c r="D560" s="55" t="str">
        <f>IFERROR(__xludf.DUMMYFUNCTION("""COMPUTED_VALUE"""),"Persea americana")</f>
        <v>Persea americana</v>
      </c>
      <c r="E560" s="8" t="str">
        <f>IFERROR(__xludf.DUMMYFUNCTION("""COMPUTED_VALUE"""),"Ronnie")</f>
        <v>Ronnie</v>
      </c>
      <c r="F560" s="8" t="str">
        <f>IFERROR(__xludf.DUMMYFUNCTION("""COMPUTED_VALUE"""),"Avocado")</f>
        <v>Avocado</v>
      </c>
      <c r="G560" s="8" t="str">
        <f>IFERROR(__xludf.DUMMYFUNCTION("""COMPUTED_VALUE"""),"Avocat")</f>
        <v>Avocat</v>
      </c>
      <c r="H560" s="8" t="str">
        <f>IFERROR(__xludf.DUMMYFUNCTION("""COMPUTED_VALUE"""),"Avocado")</f>
        <v>Avocado</v>
      </c>
      <c r="I560" s="8" t="str">
        <f>IFERROR(__xludf.DUMMYFUNCTION("""COMPUTED_VALUE"""),"091")</f>
        <v>091</v>
      </c>
      <c r="J560" s="8"/>
      <c r="K560" s="8">
        <f>IFERROR(__xludf.DUMMYFUNCTION("""COMPUTED_VALUE"""),9020.0)</f>
        <v>9020</v>
      </c>
      <c r="L560" s="8">
        <f>IFERROR(__xludf.DUMMYFUNCTION("""COMPUTED_VALUE"""),1.0)</f>
        <v>1</v>
      </c>
      <c r="M560" s="8">
        <f>IFERROR(__xludf.DUMMYFUNCTION("""COMPUTED_VALUE"""),1.0)</f>
        <v>1</v>
      </c>
      <c r="N560" s="8">
        <f>IFERROR(__xludf.DUMMYFUNCTION("""COMPUTED_VALUE"""),2.0)</f>
        <v>2</v>
      </c>
      <c r="O560" s="8"/>
      <c r="P560" s="8"/>
      <c r="Q560" s="8"/>
      <c r="R560" s="8"/>
      <c r="S560" s="8"/>
      <c r="T560" s="8"/>
      <c r="U560" s="8"/>
      <c r="V560" s="8"/>
      <c r="W560" s="8"/>
      <c r="X560" s="8"/>
      <c r="Y560" s="8"/>
      <c r="Z560" s="8"/>
    </row>
    <row r="561">
      <c r="A561" s="8">
        <f>IFERROR(__xludf.DUMMYFUNCTION("""COMPUTED_VALUE"""),902.0)</f>
        <v>902</v>
      </c>
      <c r="B561" s="8" t="str">
        <f>IFERROR(__xludf.DUMMYFUNCTION("""COMPUTED_VALUE"""),"tree")</f>
        <v>tree</v>
      </c>
      <c r="C561" s="8" t="str">
        <f>IFERROR(__xludf.DUMMYFUNCTION("""COMPUTED_VALUE"""),"graft")</f>
        <v>graft</v>
      </c>
      <c r="D561" s="55" t="str">
        <f>IFERROR(__xludf.DUMMYFUNCTION("""COMPUTED_VALUE"""),"Persea americana")</f>
        <v>Persea americana</v>
      </c>
      <c r="E561" s="8" t="str">
        <f>IFERROR(__xludf.DUMMYFUNCTION("""COMPUTED_VALUE"""),"Thai 1")</f>
        <v>Thai 1</v>
      </c>
      <c r="F561" s="8" t="str">
        <f>IFERROR(__xludf.DUMMYFUNCTION("""COMPUTED_VALUE"""),"Avocado")</f>
        <v>Avocado</v>
      </c>
      <c r="G561" s="8" t="str">
        <f>IFERROR(__xludf.DUMMYFUNCTION("""COMPUTED_VALUE"""),"Avocat")</f>
        <v>Avocat</v>
      </c>
      <c r="H561" s="8" t="str">
        <f>IFERROR(__xludf.DUMMYFUNCTION("""COMPUTED_VALUE"""),"Avocado")</f>
        <v>Avocado</v>
      </c>
      <c r="I561" s="8" t="str">
        <f>IFERROR(__xludf.DUMMYFUNCTION("""COMPUTED_VALUE"""),"098A")</f>
        <v>098A</v>
      </c>
      <c r="J561" s="8"/>
      <c r="K561" s="8">
        <f>IFERROR(__xludf.DUMMYFUNCTION("""COMPUTED_VALUE"""),9022.0)</f>
        <v>9022</v>
      </c>
      <c r="L561" s="8">
        <f>IFERROR(__xludf.DUMMYFUNCTION("""COMPUTED_VALUE"""),1.0)</f>
        <v>1</v>
      </c>
      <c r="M561" s="8">
        <f>IFERROR(__xludf.DUMMYFUNCTION("""COMPUTED_VALUE"""),1.0)</f>
        <v>1</v>
      </c>
      <c r="N561" s="8">
        <f>IFERROR(__xludf.DUMMYFUNCTION("""COMPUTED_VALUE"""),1.0)</f>
        <v>1</v>
      </c>
      <c r="O561" s="8"/>
      <c r="P561" s="8"/>
      <c r="Q561" s="8"/>
      <c r="R561" s="8"/>
      <c r="S561" s="8"/>
      <c r="T561" s="8"/>
      <c r="U561" s="8"/>
      <c r="V561" s="8"/>
      <c r="W561" s="8"/>
      <c r="X561" s="8"/>
      <c r="Y561" s="8"/>
      <c r="Z561" s="8"/>
    </row>
    <row r="562">
      <c r="A562" s="8">
        <f>IFERROR(__xludf.DUMMYFUNCTION("""COMPUTED_VALUE"""),903.0)</f>
        <v>903</v>
      </c>
      <c r="B562" s="8" t="str">
        <f>IFERROR(__xludf.DUMMYFUNCTION("""COMPUTED_VALUE"""),"tree")</f>
        <v>tree</v>
      </c>
      <c r="C562" s="8" t="str">
        <f>IFERROR(__xludf.DUMMYFUNCTION("""COMPUTED_VALUE"""),"graft")</f>
        <v>graft</v>
      </c>
      <c r="D562" s="55" t="str">
        <f>IFERROR(__xludf.DUMMYFUNCTION("""COMPUTED_VALUE"""),"Persea americana")</f>
        <v>Persea americana</v>
      </c>
      <c r="E562" s="8" t="str">
        <f>IFERROR(__xludf.DUMMYFUNCTION("""COMPUTED_VALUE"""),"Fairchild Red")</f>
        <v>Fairchild Red</v>
      </c>
      <c r="F562" s="8" t="str">
        <f>IFERROR(__xludf.DUMMYFUNCTION("""COMPUTED_VALUE"""),"Avocado")</f>
        <v>Avocado</v>
      </c>
      <c r="G562" s="8" t="str">
        <f>IFERROR(__xludf.DUMMYFUNCTION("""COMPUTED_VALUE"""),"Avocat")</f>
        <v>Avocat</v>
      </c>
      <c r="H562" s="8" t="str">
        <f>IFERROR(__xludf.DUMMYFUNCTION("""COMPUTED_VALUE"""),"seed")</f>
        <v>seed</v>
      </c>
      <c r="I562" s="8" t="str">
        <f>IFERROR(__xludf.DUMMYFUNCTION("""COMPUTED_VALUE"""),"140")</f>
        <v>140</v>
      </c>
      <c r="J562" s="8"/>
      <c r="K562" s="8">
        <f>IFERROR(__xludf.DUMMYFUNCTION("""COMPUTED_VALUE"""),9042.0)</f>
        <v>9042</v>
      </c>
      <c r="L562" s="8">
        <f>IFERROR(__xludf.DUMMYFUNCTION("""COMPUTED_VALUE"""),1.0)</f>
        <v>1</v>
      </c>
      <c r="M562" s="8">
        <f>IFERROR(__xludf.DUMMYFUNCTION("""COMPUTED_VALUE"""),1.0)</f>
        <v>1</v>
      </c>
      <c r="N562" s="8">
        <f>IFERROR(__xludf.DUMMYFUNCTION("""COMPUTED_VALUE"""),1.0)</f>
        <v>1</v>
      </c>
      <c r="O562" s="8"/>
      <c r="P562" s="8"/>
      <c r="Q562" s="8"/>
      <c r="R562" s="8"/>
      <c r="S562" s="8"/>
      <c r="T562" s="8"/>
      <c r="U562" s="8"/>
      <c r="V562" s="8"/>
      <c r="W562" s="8"/>
      <c r="X562" s="8"/>
      <c r="Y562" s="8"/>
      <c r="Z562" s="8"/>
    </row>
    <row r="563">
      <c r="A563" s="8">
        <f>IFERROR(__xludf.DUMMYFUNCTION("""COMPUTED_VALUE"""),904.0)</f>
        <v>904</v>
      </c>
      <c r="B563" s="8" t="str">
        <f>IFERROR(__xludf.DUMMYFUNCTION("""COMPUTED_VALUE"""),"tree")</f>
        <v>tree</v>
      </c>
      <c r="C563" s="8" t="str">
        <f>IFERROR(__xludf.DUMMYFUNCTION("""COMPUTED_VALUE"""),"graft")</f>
        <v>graft</v>
      </c>
      <c r="D563" s="55" t="str">
        <f>IFERROR(__xludf.DUMMYFUNCTION("""COMPUTED_VALUE"""),"Persea americana")</f>
        <v>Persea americana</v>
      </c>
      <c r="E563" s="8" t="str">
        <f>IFERROR(__xludf.DUMMYFUNCTION("""COMPUTED_VALUE"""),"Heath")</f>
        <v>Heath</v>
      </c>
      <c r="F563" s="8" t="str">
        <f>IFERROR(__xludf.DUMMYFUNCTION("""COMPUTED_VALUE"""),"Avocado")</f>
        <v>Avocado</v>
      </c>
      <c r="G563" s="8" t="str">
        <f>IFERROR(__xludf.DUMMYFUNCTION("""COMPUTED_VALUE"""),"Avocat")</f>
        <v>Avocat</v>
      </c>
      <c r="H563" s="8" t="str">
        <f>IFERROR(__xludf.DUMMYFUNCTION("""COMPUTED_VALUE"""),"Avocado")</f>
        <v>Avocado</v>
      </c>
      <c r="I563" s="8" t="str">
        <f>IFERROR(__xludf.DUMMYFUNCTION("""COMPUTED_VALUE"""),"146")</f>
        <v>146</v>
      </c>
      <c r="J563" s="8"/>
      <c r="K563" s="8">
        <f>IFERROR(__xludf.DUMMYFUNCTION("""COMPUTED_VALUE"""),9049.0)</f>
        <v>9049</v>
      </c>
      <c r="L563" s="8">
        <f>IFERROR(__xludf.DUMMYFUNCTION("""COMPUTED_VALUE"""),1.0)</f>
        <v>1</v>
      </c>
      <c r="M563" s="8">
        <f>IFERROR(__xludf.DUMMYFUNCTION("""COMPUTED_VALUE"""),1.0)</f>
        <v>1</v>
      </c>
      <c r="N563" s="8">
        <f>IFERROR(__xludf.DUMMYFUNCTION("""COMPUTED_VALUE"""),1.0)</f>
        <v>1</v>
      </c>
      <c r="O563" s="8"/>
      <c r="P563" s="8"/>
      <c r="Q563" s="8"/>
      <c r="R563" s="8"/>
      <c r="S563" s="8"/>
      <c r="T563" s="8"/>
      <c r="U563" s="8"/>
      <c r="V563" s="8"/>
      <c r="W563" s="8"/>
      <c r="X563" s="8"/>
      <c r="Y563" s="8"/>
      <c r="Z563" s="8"/>
    </row>
    <row r="564">
      <c r="A564" s="8">
        <f>IFERROR(__xludf.DUMMYFUNCTION("""COMPUTED_VALUE"""),905.0)</f>
        <v>905</v>
      </c>
      <c r="B564" s="8" t="str">
        <f>IFERROR(__xludf.DUMMYFUNCTION("""COMPUTED_VALUE"""),"tree")</f>
        <v>tree</v>
      </c>
      <c r="C564" s="8" t="str">
        <f>IFERROR(__xludf.DUMMYFUNCTION("""COMPUTED_VALUE"""),"graft")</f>
        <v>graft</v>
      </c>
      <c r="D564" s="55" t="str">
        <f>IFERROR(__xludf.DUMMYFUNCTION("""COMPUTED_VALUE"""),"Persea americana")</f>
        <v>Persea americana</v>
      </c>
      <c r="E564" s="8" t="str">
        <f>IFERROR(__xludf.DUMMYFUNCTION("""COMPUTED_VALUE"""),"Spice Park Red")</f>
        <v>Spice Park Red</v>
      </c>
      <c r="F564" s="8" t="str">
        <f>IFERROR(__xludf.DUMMYFUNCTION("""COMPUTED_VALUE"""),"Avocado")</f>
        <v>Avocado</v>
      </c>
      <c r="G564" s="8" t="str">
        <f>IFERROR(__xludf.DUMMYFUNCTION("""COMPUTED_VALUE"""),"Avocat")</f>
        <v>Avocat</v>
      </c>
      <c r="H564" s="8" t="str">
        <f>IFERROR(__xludf.DUMMYFUNCTION("""COMPUTED_VALUE"""),"Avocado")</f>
        <v>Avocado</v>
      </c>
      <c r="I564" s="8" t="str">
        <f>IFERROR(__xludf.DUMMYFUNCTION("""COMPUTED_VALUE"""),"095A")</f>
        <v>095A</v>
      </c>
      <c r="J564" s="8"/>
      <c r="K564" s="8">
        <f>IFERROR(__xludf.DUMMYFUNCTION("""COMPUTED_VALUE"""),9056.0)</f>
        <v>9056</v>
      </c>
      <c r="L564" s="8">
        <f>IFERROR(__xludf.DUMMYFUNCTION("""COMPUTED_VALUE"""),1.0)</f>
        <v>1</v>
      </c>
      <c r="M564" s="8">
        <f>IFERROR(__xludf.DUMMYFUNCTION("""COMPUTED_VALUE"""),1.0)</f>
        <v>1</v>
      </c>
      <c r="N564" s="8">
        <f>IFERROR(__xludf.DUMMYFUNCTION("""COMPUTED_VALUE"""),1.0)</f>
        <v>1</v>
      </c>
      <c r="O564" s="8"/>
      <c r="P564" s="8"/>
      <c r="Q564" s="8"/>
      <c r="R564" s="8"/>
      <c r="S564" s="8"/>
      <c r="T564" s="8"/>
      <c r="U564" s="8"/>
      <c r="V564" s="8"/>
      <c r="W564" s="8"/>
      <c r="X564" s="8"/>
      <c r="Y564" s="8"/>
      <c r="Z564" s="8"/>
    </row>
    <row r="565">
      <c r="A565" s="8">
        <f>IFERROR(__xludf.DUMMYFUNCTION("""COMPUTED_VALUE"""),906.0)</f>
        <v>906</v>
      </c>
      <c r="B565" s="8" t="str">
        <f>IFERROR(__xludf.DUMMYFUNCTION("""COMPUTED_VALUE"""),"tree")</f>
        <v>tree</v>
      </c>
      <c r="C565" s="8" t="str">
        <f>IFERROR(__xludf.DUMMYFUNCTION("""COMPUTED_VALUE"""),"graft")</f>
        <v>graft</v>
      </c>
      <c r="D565" s="55" t="str">
        <f>IFERROR(__xludf.DUMMYFUNCTION("""COMPUTED_VALUE"""),"Artocarpus heterophyllus")</f>
        <v>Artocarpus heterophyllus</v>
      </c>
      <c r="E565" s="8" t="str">
        <f>IFERROR(__xludf.DUMMYFUNCTION("""COMPUTED_VALUE"""),"TMR")</f>
        <v>TMR</v>
      </c>
      <c r="F565" s="8" t="str">
        <f>IFERROR(__xludf.DUMMYFUNCTION("""COMPUTED_VALUE"""),"Jackfruit")</f>
        <v>Jackfruit</v>
      </c>
      <c r="G565" s="8" t="str">
        <f>IFERROR(__xludf.DUMMYFUNCTION("""COMPUTED_VALUE"""),"Jacquier")</f>
        <v>Jacquier</v>
      </c>
      <c r="H565" s="8" t="str">
        <f>IFERROR(__xludf.DUMMYFUNCTION("""COMPUTED_VALUE"""),"Jackfruit")</f>
        <v>Jackfruit</v>
      </c>
      <c r="I565" s="8" t="str">
        <f>IFERROR(__xludf.DUMMYFUNCTION("""COMPUTED_VALUE"""),"206")</f>
        <v>206</v>
      </c>
      <c r="J565" s="8"/>
      <c r="K565" s="8">
        <f>IFERROR(__xludf.DUMMYFUNCTION("""COMPUTED_VALUE"""),9064.0)</f>
        <v>9064</v>
      </c>
      <c r="L565" s="8" t="str">
        <f>IFERROR(__xludf.DUMMYFUNCTION("""COMPUTED_VALUE"""),"multiple")</f>
        <v>multiple</v>
      </c>
      <c r="M565" s="8">
        <f>IFERROR(__xludf.DUMMYFUNCTION("""COMPUTED_VALUE"""),1.0)</f>
        <v>1</v>
      </c>
      <c r="N565" s="8">
        <f>IFERROR(__xludf.DUMMYFUNCTION("""COMPUTED_VALUE"""),1.0)</f>
        <v>1</v>
      </c>
      <c r="O565" s="8"/>
      <c r="P565" s="8"/>
      <c r="Q565" s="8"/>
      <c r="R565" s="8"/>
      <c r="S565" s="8"/>
      <c r="T565" s="8"/>
      <c r="U565" s="8"/>
      <c r="V565" s="8"/>
      <c r="W565" s="8"/>
      <c r="X565" s="8"/>
      <c r="Y565" s="8"/>
      <c r="Z565" s="8"/>
    </row>
    <row r="566">
      <c r="A566" s="8">
        <f>IFERROR(__xludf.DUMMYFUNCTION("""COMPUTED_VALUE"""),907.0)</f>
        <v>907</v>
      </c>
      <c r="B566" s="8" t="str">
        <f>IFERROR(__xludf.DUMMYFUNCTION("""COMPUTED_VALUE"""),"tree")</f>
        <v>tree</v>
      </c>
      <c r="C566" s="8" t="str">
        <f>IFERROR(__xludf.DUMMYFUNCTION("""COMPUTED_VALUE"""),"graft")</f>
        <v>graft</v>
      </c>
      <c r="D566" s="55" t="str">
        <f>IFERROR(__xludf.DUMMYFUNCTION("""COMPUTED_VALUE"""),"Persea americana")</f>
        <v>Persea americana</v>
      </c>
      <c r="E566" s="8" t="str">
        <f>IFERROR(__xludf.DUMMYFUNCTION("""COMPUTED_VALUE"""),"Yucatan")</f>
        <v>Yucatan</v>
      </c>
      <c r="F566" s="8" t="str">
        <f>IFERROR(__xludf.DUMMYFUNCTION("""COMPUTED_VALUE"""),"Avocado")</f>
        <v>Avocado</v>
      </c>
      <c r="G566" s="8" t="str">
        <f>IFERROR(__xludf.DUMMYFUNCTION("""COMPUTED_VALUE"""),"Avocat")</f>
        <v>Avocat</v>
      </c>
      <c r="H566" s="8" t="str">
        <f>IFERROR(__xludf.DUMMYFUNCTION("""COMPUTED_VALUE"""),"Avocado")</f>
        <v>Avocado</v>
      </c>
      <c r="I566" s="8" t="str">
        <f>IFERROR(__xludf.DUMMYFUNCTION("""COMPUTED_VALUE"""),"167")</f>
        <v>167</v>
      </c>
      <c r="J566" s="8"/>
      <c r="K566" s="8">
        <f>IFERROR(__xludf.DUMMYFUNCTION("""COMPUTED_VALUE"""),9099.0)</f>
        <v>9099</v>
      </c>
      <c r="L566" s="8">
        <f>IFERROR(__xludf.DUMMYFUNCTION("""COMPUTED_VALUE"""),1.0)</f>
        <v>1</v>
      </c>
      <c r="M566" s="8">
        <f>IFERROR(__xludf.DUMMYFUNCTION("""COMPUTED_VALUE"""),1.0)</f>
        <v>1</v>
      </c>
      <c r="N566" s="8">
        <f>IFERROR(__xludf.DUMMYFUNCTION("""COMPUTED_VALUE"""),1.0)</f>
        <v>1</v>
      </c>
      <c r="O566" s="8"/>
      <c r="P566" s="8"/>
      <c r="Q566" s="8"/>
      <c r="R566" s="8"/>
      <c r="S566" s="8"/>
      <c r="T566" s="8"/>
      <c r="U566" s="8"/>
      <c r="V566" s="8"/>
      <c r="W566" s="8"/>
      <c r="X566" s="8"/>
      <c r="Y566" s="8"/>
      <c r="Z566" s="8"/>
    </row>
    <row r="567">
      <c r="A567" s="8">
        <f>IFERROR(__xludf.DUMMYFUNCTION("""COMPUTED_VALUE"""),908.0)</f>
        <v>908</v>
      </c>
      <c r="B567" s="8" t="str">
        <f>IFERROR(__xludf.DUMMYFUNCTION("""COMPUTED_VALUE"""),"tree")</f>
        <v>tree</v>
      </c>
      <c r="C567" s="8" t="str">
        <f>IFERROR(__xludf.DUMMYFUNCTION("""COMPUTED_VALUE"""),"graft")</f>
        <v>graft</v>
      </c>
      <c r="D567" s="55" t="str">
        <f>IFERROR(__xludf.DUMMYFUNCTION("""COMPUTED_VALUE"""),"Artocarpus heterophyllus")</f>
        <v>Artocarpus heterophyllus</v>
      </c>
      <c r="E567" s="8" t="str">
        <f>IFERROR(__xludf.DUMMYFUNCTION("""COMPUTED_VALUE"""),"Borneo Red Seedling")</f>
        <v>Borneo Red Seedling</v>
      </c>
      <c r="F567" s="8" t="str">
        <f>IFERROR(__xludf.DUMMYFUNCTION("""COMPUTED_VALUE"""),"Jackfruit")</f>
        <v>Jackfruit</v>
      </c>
      <c r="G567" s="8" t="str">
        <f>IFERROR(__xludf.DUMMYFUNCTION("""COMPUTED_VALUE"""),"Jacquier")</f>
        <v>Jacquier</v>
      </c>
      <c r="H567" s="8" t="str">
        <f>IFERROR(__xludf.DUMMYFUNCTION("""COMPUTED_VALUE"""),"Jackfruit")</f>
        <v>Jackfruit</v>
      </c>
      <c r="I567" s="8" t="str">
        <f>IFERROR(__xludf.DUMMYFUNCTION("""COMPUTED_VALUE"""),"210")</f>
        <v>210</v>
      </c>
      <c r="J567" s="8"/>
      <c r="K567" s="8">
        <f>IFERROR(__xludf.DUMMYFUNCTION("""COMPUTED_VALUE"""),9100.0)</f>
        <v>9100</v>
      </c>
      <c r="L567" s="8" t="str">
        <f>IFERROR(__xludf.DUMMYFUNCTION("""COMPUTED_VALUE"""),"multiple")</f>
        <v>multiple</v>
      </c>
      <c r="M567" s="8">
        <f>IFERROR(__xludf.DUMMYFUNCTION("""COMPUTED_VALUE"""),1.0)</f>
        <v>1</v>
      </c>
      <c r="N567" s="8">
        <f>IFERROR(__xludf.DUMMYFUNCTION("""COMPUTED_VALUE"""),1.0)</f>
        <v>1</v>
      </c>
      <c r="O567" s="8"/>
      <c r="P567" s="8"/>
      <c r="Q567" s="8"/>
      <c r="R567" s="8"/>
      <c r="S567" s="8"/>
      <c r="T567" s="8"/>
      <c r="U567" s="8"/>
      <c r="V567" s="8"/>
      <c r="W567" s="8"/>
      <c r="X567" s="8"/>
      <c r="Y567" s="8"/>
      <c r="Z567" s="8"/>
    </row>
    <row r="568">
      <c r="A568" s="8">
        <f>IFERROR(__xludf.DUMMYFUNCTION("""COMPUTED_VALUE"""),909.0)</f>
        <v>909</v>
      </c>
      <c r="B568" s="8" t="str">
        <f>IFERROR(__xludf.DUMMYFUNCTION("""COMPUTED_VALUE"""),"tree")</f>
        <v>tree</v>
      </c>
      <c r="C568" s="8" t="str">
        <f>IFERROR(__xludf.DUMMYFUNCTION("""COMPUTED_VALUE"""),"graft")</f>
        <v>graft</v>
      </c>
      <c r="D568" s="55" t="str">
        <f>IFERROR(__xludf.DUMMYFUNCTION("""COMPUTED_VALUE"""),"Persea americana")</f>
        <v>Persea americana</v>
      </c>
      <c r="E568" s="8" t="str">
        <f>IFERROR(__xludf.DUMMYFUNCTION("""COMPUTED_VALUE"""),"Simmonds")</f>
        <v>Simmonds</v>
      </c>
      <c r="F568" s="8" t="str">
        <f>IFERROR(__xludf.DUMMYFUNCTION("""COMPUTED_VALUE"""),"Avocado")</f>
        <v>Avocado</v>
      </c>
      <c r="G568" s="8" t="str">
        <f>IFERROR(__xludf.DUMMYFUNCTION("""COMPUTED_VALUE"""),"Avocat")</f>
        <v>Avocat</v>
      </c>
      <c r="H568" s="8" t="str">
        <f>IFERROR(__xludf.DUMMYFUNCTION("""COMPUTED_VALUE"""),"Avocado")</f>
        <v>Avocado</v>
      </c>
      <c r="I568" s="8" t="str">
        <f>IFERROR(__xludf.DUMMYFUNCTION("""COMPUTED_VALUE"""),"119")</f>
        <v>119</v>
      </c>
      <c r="J568" s="8"/>
      <c r="K568" s="8">
        <f>IFERROR(__xludf.DUMMYFUNCTION("""COMPUTED_VALUE"""),9104.0)</f>
        <v>9104</v>
      </c>
      <c r="L568" s="8">
        <f>IFERROR(__xludf.DUMMYFUNCTION("""COMPUTED_VALUE"""),1.0)</f>
        <v>1</v>
      </c>
      <c r="M568" s="8">
        <f>IFERROR(__xludf.DUMMYFUNCTION("""COMPUTED_VALUE"""),1.0)</f>
        <v>1</v>
      </c>
      <c r="N568" s="8">
        <f>IFERROR(__xludf.DUMMYFUNCTION("""COMPUTED_VALUE"""),1.0)</f>
        <v>1</v>
      </c>
      <c r="O568" s="8"/>
      <c r="P568" s="8"/>
      <c r="Q568" s="8"/>
      <c r="R568" s="8"/>
      <c r="S568" s="8"/>
      <c r="T568" s="8"/>
      <c r="U568" s="8"/>
      <c r="V568" s="8"/>
      <c r="W568" s="8"/>
      <c r="X568" s="8"/>
      <c r="Y568" s="8"/>
      <c r="Z568" s="8"/>
    </row>
    <row r="569">
      <c r="A569" s="8">
        <f>IFERROR(__xludf.DUMMYFUNCTION("""COMPUTED_VALUE"""),910.0)</f>
        <v>910</v>
      </c>
      <c r="B569" s="8" t="str">
        <f>IFERROR(__xludf.DUMMYFUNCTION("""COMPUTED_VALUE"""),"tree")</f>
        <v>tree</v>
      </c>
      <c r="C569" s="8" t="str">
        <f>IFERROR(__xludf.DUMMYFUNCTION("""COMPUTED_VALUE"""),"graft")</f>
        <v>graft</v>
      </c>
      <c r="D569" s="55" t="str">
        <f>IFERROR(__xludf.DUMMYFUNCTION("""COMPUTED_VALUE"""),"Artocarpus heterophyllus")</f>
        <v>Artocarpus heterophyllus</v>
      </c>
      <c r="E569" s="8" t="str">
        <f>IFERROR(__xludf.DUMMYFUNCTION("""COMPUTED_VALUE"""),"Black Gold")</f>
        <v>Black Gold</v>
      </c>
      <c r="F569" s="8" t="str">
        <f>IFERROR(__xludf.DUMMYFUNCTION("""COMPUTED_VALUE"""),"Jackfruit")</f>
        <v>Jackfruit</v>
      </c>
      <c r="G569" s="8" t="str">
        <f>IFERROR(__xludf.DUMMYFUNCTION("""COMPUTED_VALUE"""),"Jacquier")</f>
        <v>Jacquier</v>
      </c>
      <c r="H569" s="8" t="str">
        <f>IFERROR(__xludf.DUMMYFUNCTION("""COMPUTED_VALUE"""),"Jackfruit")</f>
        <v>Jackfruit</v>
      </c>
      <c r="I569" s="8" t="str">
        <f>IFERROR(__xludf.DUMMYFUNCTION("""COMPUTED_VALUE"""),"202")</f>
        <v>202</v>
      </c>
      <c r="J569" s="8"/>
      <c r="K569" s="8">
        <f>IFERROR(__xludf.DUMMYFUNCTION("""COMPUTED_VALUE"""),9106.0)</f>
        <v>9106</v>
      </c>
      <c r="L569" s="8" t="str">
        <f>IFERROR(__xludf.DUMMYFUNCTION("""COMPUTED_VALUE"""),"multiple")</f>
        <v>multiple</v>
      </c>
      <c r="M569" s="8">
        <f>IFERROR(__xludf.DUMMYFUNCTION("""COMPUTED_VALUE"""),1.0)</f>
        <v>1</v>
      </c>
      <c r="N569" s="8">
        <f>IFERROR(__xludf.DUMMYFUNCTION("""COMPUTED_VALUE"""),1.0)</f>
        <v>1</v>
      </c>
      <c r="O569" s="8"/>
      <c r="P569" s="8"/>
      <c r="Q569" s="8"/>
      <c r="R569" s="8"/>
      <c r="S569" s="8"/>
      <c r="T569" s="8"/>
      <c r="U569" s="8"/>
      <c r="V569" s="8"/>
      <c r="W569" s="8"/>
      <c r="X569" s="8"/>
      <c r="Y569" s="8"/>
      <c r="Z569" s="8"/>
    </row>
    <row r="570">
      <c r="A570" s="8">
        <f>IFERROR(__xludf.DUMMYFUNCTION("""COMPUTED_VALUE"""),911.0)</f>
        <v>911</v>
      </c>
      <c r="B570" s="8" t="str">
        <f>IFERROR(__xludf.DUMMYFUNCTION("""COMPUTED_VALUE"""),"tree")</f>
        <v>tree</v>
      </c>
      <c r="C570" s="8" t="str">
        <f>IFERROR(__xludf.DUMMYFUNCTION("""COMPUTED_VALUE"""),"graft")</f>
        <v>graft</v>
      </c>
      <c r="D570" s="55" t="str">
        <f>IFERROR(__xludf.DUMMYFUNCTION("""COMPUTED_VALUE"""),"Artocarpus heterophyllus")</f>
        <v>Artocarpus heterophyllus</v>
      </c>
      <c r="E570" s="8" t="str">
        <f>IFERROR(__xludf.DUMMYFUNCTION("""COMPUTED_VALUE"""),"Golden Nugget")</f>
        <v>Golden Nugget</v>
      </c>
      <c r="F570" s="8" t="str">
        <f>IFERROR(__xludf.DUMMYFUNCTION("""COMPUTED_VALUE"""),"Jackfruit")</f>
        <v>Jackfruit</v>
      </c>
      <c r="G570" s="8" t="str">
        <f>IFERROR(__xludf.DUMMYFUNCTION("""COMPUTED_VALUE"""),"Jacquier")</f>
        <v>Jacquier</v>
      </c>
      <c r="H570" s="8" t="str">
        <f>IFERROR(__xludf.DUMMYFUNCTION("""COMPUTED_VALUE"""),"Jackfruit")</f>
        <v>Jackfruit</v>
      </c>
      <c r="I570" s="8" t="str">
        <f>IFERROR(__xludf.DUMMYFUNCTION("""COMPUTED_VALUE"""),"119A")</f>
        <v>119A</v>
      </c>
      <c r="J570" s="8"/>
      <c r="K570" s="8">
        <f>IFERROR(__xludf.DUMMYFUNCTION("""COMPUTED_VALUE"""),9107.0)</f>
        <v>9107</v>
      </c>
      <c r="L570" s="8" t="str">
        <f>IFERROR(__xludf.DUMMYFUNCTION("""COMPUTED_VALUE"""),"multiple")</f>
        <v>multiple</v>
      </c>
      <c r="M570" s="8">
        <f>IFERROR(__xludf.DUMMYFUNCTION("""COMPUTED_VALUE"""),1.0)</f>
        <v>1</v>
      </c>
      <c r="N570" s="8">
        <f>IFERROR(__xludf.DUMMYFUNCTION("""COMPUTED_VALUE"""),1.0)</f>
        <v>1</v>
      </c>
      <c r="O570" s="8"/>
      <c r="P570" s="8"/>
      <c r="Q570" s="8"/>
      <c r="R570" s="8"/>
      <c r="S570" s="8"/>
      <c r="T570" s="8"/>
      <c r="U570" s="8"/>
      <c r="V570" s="8"/>
      <c r="W570" s="8"/>
      <c r="X570" s="8"/>
      <c r="Y570" s="8"/>
      <c r="Z570" s="8"/>
    </row>
    <row r="571">
      <c r="A571" s="8">
        <f>IFERROR(__xludf.DUMMYFUNCTION("""COMPUTED_VALUE"""),912.0)</f>
        <v>912</v>
      </c>
      <c r="B571" s="8" t="str">
        <f>IFERROR(__xludf.DUMMYFUNCTION("""COMPUTED_VALUE"""),"tree")</f>
        <v>tree</v>
      </c>
      <c r="C571" s="8" t="str">
        <f>IFERROR(__xludf.DUMMYFUNCTION("""COMPUTED_VALUE"""),"graft")</f>
        <v>graft</v>
      </c>
      <c r="D571" s="55" t="str">
        <f>IFERROR(__xludf.DUMMYFUNCTION("""COMPUTED_VALUE"""),"Annona muricata")</f>
        <v>Annona muricata</v>
      </c>
      <c r="E571" s="8" t="str">
        <f>IFERROR(__xludf.DUMMYFUNCTION("""COMPUTED_VALUE"""),"Peruvian")</f>
        <v>Peruvian</v>
      </c>
      <c r="F571" s="8" t="str">
        <f>IFERROR(__xludf.DUMMYFUNCTION("""COMPUTED_VALUE"""),"Soursop")</f>
        <v>Soursop</v>
      </c>
      <c r="G571" s="8" t="str">
        <f>IFERROR(__xludf.DUMMYFUNCTION("""COMPUTED_VALUE"""),"Corossol")</f>
        <v>Corossol</v>
      </c>
      <c r="H571" s="8" t="str">
        <f>IFERROR(__xludf.DUMMYFUNCTION("""COMPUTED_VALUE"""),"Soursop")</f>
        <v>Soursop</v>
      </c>
      <c r="I571" s="8" t="str">
        <f>IFERROR(__xludf.DUMMYFUNCTION("""COMPUTED_VALUE"""),"123A")</f>
        <v>123A</v>
      </c>
      <c r="J571" s="8"/>
      <c r="K571" s="8">
        <f>IFERROR(__xludf.DUMMYFUNCTION("""COMPUTED_VALUE"""),9109.0)</f>
        <v>9109</v>
      </c>
      <c r="L571" s="8" t="str">
        <f>IFERROR(__xludf.DUMMYFUNCTION("""COMPUTED_VALUE"""),"multiple")</f>
        <v>multiple</v>
      </c>
      <c r="M571" s="8">
        <f>IFERROR(__xludf.DUMMYFUNCTION("""COMPUTED_VALUE"""),1.0)</f>
        <v>1</v>
      </c>
      <c r="N571" s="8">
        <f>IFERROR(__xludf.DUMMYFUNCTION("""COMPUTED_VALUE"""),1.0)</f>
        <v>1</v>
      </c>
      <c r="O571" s="8"/>
      <c r="P571" s="8"/>
      <c r="Q571" s="8"/>
      <c r="R571" s="8"/>
      <c r="S571" s="8"/>
      <c r="T571" s="8"/>
      <c r="U571" s="8"/>
      <c r="V571" s="8"/>
      <c r="W571" s="8"/>
      <c r="X571" s="8"/>
      <c r="Y571" s="8"/>
      <c r="Z571" s="8"/>
    </row>
    <row r="572">
      <c r="A572" s="8">
        <f>IFERROR(__xludf.DUMMYFUNCTION("""COMPUTED_VALUE"""),913.0)</f>
        <v>913</v>
      </c>
      <c r="B572" s="8" t="str">
        <f>IFERROR(__xludf.DUMMYFUNCTION("""COMPUTED_VALUE"""),"tree")</f>
        <v>tree</v>
      </c>
      <c r="C572" s="8" t="str">
        <f>IFERROR(__xludf.DUMMYFUNCTION("""COMPUTED_VALUE"""),"graft")</f>
        <v>graft</v>
      </c>
      <c r="D572" s="55" t="str">
        <f>IFERROR(__xludf.DUMMYFUNCTION("""COMPUTED_VALUE"""),"Artocarpus integer")</f>
        <v>Artocarpus integer</v>
      </c>
      <c r="E572" s="8" t="str">
        <f>IFERROR(__xludf.DUMMYFUNCTION("""COMPUTED_VALUE"""),"Seedling")</f>
        <v>Seedling</v>
      </c>
      <c r="F572" s="8" t="str">
        <f>IFERROR(__xludf.DUMMYFUNCTION("""COMPUTED_VALUE"""),"Chempadek")</f>
        <v>Chempadek</v>
      </c>
      <c r="G572" s="8" t="str">
        <f>IFERROR(__xludf.DUMMYFUNCTION("""COMPUTED_VALUE"""),"Chempadek")</f>
        <v>Chempadek</v>
      </c>
      <c r="H572" s="8" t="str">
        <f>IFERROR(__xludf.DUMMYFUNCTION("""COMPUTED_VALUE"""),"Chempadek")</f>
        <v>Chempadek</v>
      </c>
      <c r="I572" s="8" t="str">
        <f>IFERROR(__xludf.DUMMYFUNCTION("""COMPUTED_VALUE"""),"136")</f>
        <v>136</v>
      </c>
      <c r="J572" s="8"/>
      <c r="K572" s="8">
        <f>IFERROR(__xludf.DUMMYFUNCTION("""COMPUTED_VALUE"""),9114.0)</f>
        <v>9114</v>
      </c>
      <c r="L572" s="8" t="str">
        <f>IFERROR(__xludf.DUMMYFUNCTION("""COMPUTED_VALUE"""),"multiple")</f>
        <v>multiple</v>
      </c>
      <c r="M572" s="8">
        <f>IFERROR(__xludf.DUMMYFUNCTION("""COMPUTED_VALUE"""),2.0)</f>
        <v>2</v>
      </c>
      <c r="N572" s="8">
        <f>IFERROR(__xludf.DUMMYFUNCTION("""COMPUTED_VALUE"""),2.0)</f>
        <v>2</v>
      </c>
      <c r="O572" s="8"/>
      <c r="P572" s="8"/>
      <c r="Q572" s="8"/>
      <c r="R572" s="8"/>
      <c r="S572" s="8"/>
      <c r="T572" s="8"/>
      <c r="U572" s="8"/>
      <c r="V572" s="8"/>
      <c r="W572" s="8"/>
      <c r="X572" s="8"/>
      <c r="Y572" s="8"/>
      <c r="Z572" s="8"/>
    </row>
    <row r="573">
      <c r="A573" s="8">
        <f>IFERROR(__xludf.DUMMYFUNCTION("""COMPUTED_VALUE"""),914.0)</f>
        <v>914</v>
      </c>
      <c r="B573" s="8" t="str">
        <f>IFERROR(__xludf.DUMMYFUNCTION("""COMPUTED_VALUE"""),"tree")</f>
        <v>tree</v>
      </c>
      <c r="C573" s="8" t="str">
        <f>IFERROR(__xludf.DUMMYFUNCTION("""COMPUTED_VALUE"""),"graft")</f>
        <v>graft</v>
      </c>
      <c r="D573" s="8" t="str">
        <f>IFERROR(__xludf.DUMMYFUNCTION("""COMPUTED_VALUE"""),"Annona cherimola x A. reticulata")</f>
        <v>Annona cherimola x A. reticulata</v>
      </c>
      <c r="E573" s="8" t="str">
        <f>IFERROR(__xludf.DUMMYFUNCTION("""COMPUTED_VALUE"""),"Painter")</f>
        <v>Painter</v>
      </c>
      <c r="F573" s="8" t="str">
        <f>IFERROR(__xludf.DUMMYFUNCTION("""COMPUTED_VALUE"""),"Cherilata")</f>
        <v>Cherilata</v>
      </c>
      <c r="G573" s="8" t="str">
        <f>IFERROR(__xludf.DUMMYFUNCTION("""COMPUTED_VALUE"""),"Cherilata")</f>
        <v>Cherilata</v>
      </c>
      <c r="H573" s="8" t="str">
        <f>IFERROR(__xludf.DUMMYFUNCTION("""COMPUTED_VALUE"""),"Cherilata")</f>
        <v>Cherilata</v>
      </c>
      <c r="I573" s="8" t="str">
        <f>IFERROR(__xludf.DUMMYFUNCTION("""COMPUTED_VALUE"""),"123")</f>
        <v>123</v>
      </c>
      <c r="J573" s="8"/>
      <c r="K573" s="8">
        <f>IFERROR(__xludf.DUMMYFUNCTION("""COMPUTED_VALUE"""),9118.0)</f>
        <v>9118</v>
      </c>
      <c r="L573" s="8" t="str">
        <f>IFERROR(__xludf.DUMMYFUNCTION("""COMPUTED_VALUE"""),"multiple")</f>
        <v>multiple</v>
      </c>
      <c r="M573" s="8">
        <f>IFERROR(__xludf.DUMMYFUNCTION("""COMPUTED_VALUE"""),3.0)</f>
        <v>3</v>
      </c>
      <c r="N573" s="8">
        <f>IFERROR(__xludf.DUMMYFUNCTION("""COMPUTED_VALUE"""),3.0)</f>
        <v>3</v>
      </c>
      <c r="O573" s="8"/>
      <c r="P573" s="8"/>
      <c r="Q573" s="8"/>
      <c r="R573" s="8"/>
      <c r="S573" s="8"/>
      <c r="T573" s="8"/>
      <c r="U573" s="8"/>
      <c r="V573" s="8"/>
      <c r="W573" s="8"/>
      <c r="X573" s="8"/>
      <c r="Y573" s="8"/>
      <c r="Z573" s="8"/>
    </row>
    <row r="574">
      <c r="A574" s="8">
        <f>IFERROR(__xludf.DUMMYFUNCTION("""COMPUTED_VALUE"""),915.0)</f>
        <v>915</v>
      </c>
      <c r="B574" s="8" t="str">
        <f>IFERROR(__xludf.DUMMYFUNCTION("""COMPUTED_VALUE"""),"tree")</f>
        <v>tree</v>
      </c>
      <c r="C574" s="8" t="str">
        <f>IFERROR(__xludf.DUMMYFUNCTION("""COMPUTED_VALUE"""),"air_layer")</f>
        <v>air_layer</v>
      </c>
      <c r="D574" s="55" t="str">
        <f>IFERROR(__xludf.DUMMYFUNCTION("""COMPUTED_VALUE"""),"Psidium guajava")</f>
        <v>Psidium guajava</v>
      </c>
      <c r="E574" s="8" t="str">
        <f>IFERROR(__xludf.DUMMYFUNCTION("""COMPUTED_VALUE"""),"Chris's Pink")</f>
        <v>Chris's Pink</v>
      </c>
      <c r="F574" s="8" t="str">
        <f>IFERROR(__xludf.DUMMYFUNCTION("""COMPUTED_VALUE"""),"Guava")</f>
        <v>Guava</v>
      </c>
      <c r="G574" s="8" t="str">
        <f>IFERROR(__xludf.DUMMYFUNCTION("""COMPUTED_VALUE"""),"Goyave")</f>
        <v>Goyave</v>
      </c>
      <c r="H574" s="8" t="str">
        <f>IFERROR(__xludf.DUMMYFUNCTION("""COMPUTED_VALUE"""),"Guava")</f>
        <v>Guava</v>
      </c>
      <c r="I574" s="8" t="str">
        <f>IFERROR(__xludf.DUMMYFUNCTION("""COMPUTED_VALUE"""),"113A")</f>
        <v>113A</v>
      </c>
      <c r="J574" s="8"/>
      <c r="K574" s="8">
        <f>IFERROR(__xludf.DUMMYFUNCTION("""COMPUTED_VALUE"""),9127.0)</f>
        <v>9127</v>
      </c>
      <c r="L574" s="8" t="str">
        <f>IFERROR(__xludf.DUMMYFUNCTION("""COMPUTED_VALUE"""),"multiple")</f>
        <v>multiple</v>
      </c>
      <c r="M574" s="8">
        <f>IFERROR(__xludf.DUMMYFUNCTION("""COMPUTED_VALUE"""),0.0)</f>
        <v>0</v>
      </c>
      <c r="N574" s="8">
        <f>IFERROR(__xludf.DUMMYFUNCTION("""COMPUTED_VALUE"""),0.0)</f>
        <v>0</v>
      </c>
      <c r="O574" s="8"/>
      <c r="P574" s="8"/>
      <c r="Q574" s="8"/>
      <c r="R574" s="8"/>
      <c r="S574" s="8"/>
      <c r="T574" s="8"/>
      <c r="U574" s="8"/>
      <c r="V574" s="8"/>
      <c r="W574" s="8"/>
      <c r="X574" s="8"/>
      <c r="Y574" s="8"/>
      <c r="Z574" s="8"/>
    </row>
    <row r="575">
      <c r="A575" s="8">
        <f>IFERROR(__xludf.DUMMYFUNCTION("""COMPUTED_VALUE"""),916.0)</f>
        <v>916</v>
      </c>
      <c r="B575" s="8" t="str">
        <f>IFERROR(__xludf.DUMMYFUNCTION("""COMPUTED_VALUE"""),"tree")</f>
        <v>tree</v>
      </c>
      <c r="C575" s="8" t="str">
        <f>IFERROR(__xludf.DUMMYFUNCTION("""COMPUTED_VALUE"""),"air_layer")</f>
        <v>air_layer</v>
      </c>
      <c r="D575" s="55" t="str">
        <f>IFERROR(__xludf.DUMMYFUNCTION("""COMPUTED_VALUE"""),"Psidium guajava")</f>
        <v>Psidium guajava</v>
      </c>
      <c r="E575" s="8" t="str">
        <f>IFERROR(__xludf.DUMMYFUNCTION("""COMPUTED_VALUE"""),"Chris's Pink")</f>
        <v>Chris's Pink</v>
      </c>
      <c r="F575" s="8" t="str">
        <f>IFERROR(__xludf.DUMMYFUNCTION("""COMPUTED_VALUE"""),"Guava")</f>
        <v>Guava</v>
      </c>
      <c r="G575" s="8" t="str">
        <f>IFERROR(__xludf.DUMMYFUNCTION("""COMPUTED_VALUE"""),"Goyave")</f>
        <v>Goyave</v>
      </c>
      <c r="H575" s="8" t="str">
        <f>IFERROR(__xludf.DUMMYFUNCTION("""COMPUTED_VALUE"""),"Guava")</f>
        <v>Guava</v>
      </c>
      <c r="I575" s="8" t="str">
        <f>IFERROR(__xludf.DUMMYFUNCTION("""COMPUTED_VALUE"""),"112A")</f>
        <v>112A</v>
      </c>
      <c r="J575" s="8"/>
      <c r="K575" s="8">
        <f>IFERROR(__xludf.DUMMYFUNCTION("""COMPUTED_VALUE"""),9128.0)</f>
        <v>9128</v>
      </c>
      <c r="L575" s="8" t="str">
        <f>IFERROR(__xludf.DUMMYFUNCTION("""COMPUTED_VALUE"""),"multiple")</f>
        <v>multiple</v>
      </c>
      <c r="M575" s="8">
        <f>IFERROR(__xludf.DUMMYFUNCTION("""COMPUTED_VALUE"""),0.0)</f>
        <v>0</v>
      </c>
      <c r="N575" s="8">
        <f>IFERROR(__xludf.DUMMYFUNCTION("""COMPUTED_VALUE"""),0.0)</f>
        <v>0</v>
      </c>
      <c r="O575" s="8"/>
      <c r="P575" s="8"/>
      <c r="Q575" s="8"/>
      <c r="R575" s="8"/>
      <c r="S575" s="8"/>
      <c r="T575" s="8"/>
      <c r="U575" s="8"/>
      <c r="V575" s="8"/>
      <c r="W575" s="8"/>
      <c r="X575" s="8"/>
      <c r="Y575" s="8"/>
      <c r="Z575" s="8"/>
    </row>
    <row r="576">
      <c r="A576" s="8">
        <f>IFERROR(__xludf.DUMMYFUNCTION("""COMPUTED_VALUE"""),917.0)</f>
        <v>917</v>
      </c>
      <c r="B576" s="8" t="str">
        <f>IFERROR(__xludf.DUMMYFUNCTION("""COMPUTED_VALUE"""),"tree")</f>
        <v>tree</v>
      </c>
      <c r="C576" s="8" t="str">
        <f>IFERROR(__xludf.DUMMYFUNCTION("""COMPUTED_VALUE"""),"graft")</f>
        <v>graft</v>
      </c>
      <c r="D576" s="55" t="str">
        <f>IFERROR(__xludf.DUMMYFUNCTION("""COMPUTED_VALUE"""),"Artocarpus heterophyllus")</f>
        <v>Artocarpus heterophyllus</v>
      </c>
      <c r="E576" s="8" t="str">
        <f>IFERROR(__xludf.DUMMYFUNCTION("""COMPUTED_VALUE"""),"Cantaloupe")</f>
        <v>Cantaloupe</v>
      </c>
      <c r="F576" s="8" t="str">
        <f>IFERROR(__xludf.DUMMYFUNCTION("""COMPUTED_VALUE"""),"Jackfruit")</f>
        <v>Jackfruit</v>
      </c>
      <c r="G576" s="8" t="str">
        <f>IFERROR(__xludf.DUMMYFUNCTION("""COMPUTED_VALUE"""),"Jacquier")</f>
        <v>Jacquier</v>
      </c>
      <c r="H576" s="8" t="str">
        <f>IFERROR(__xludf.DUMMYFUNCTION("""COMPUTED_VALUE"""),"Jackfruit")</f>
        <v>Jackfruit</v>
      </c>
      <c r="I576" s="8" t="str">
        <f>IFERROR(__xludf.DUMMYFUNCTION("""COMPUTED_VALUE"""),"181")</f>
        <v>181</v>
      </c>
      <c r="J576" s="8"/>
      <c r="K576" s="8">
        <f>IFERROR(__xludf.DUMMYFUNCTION("""COMPUTED_VALUE"""),9131.0)</f>
        <v>9131</v>
      </c>
      <c r="L576" s="8" t="str">
        <f>IFERROR(__xludf.DUMMYFUNCTION("""COMPUTED_VALUE"""),"multiple")</f>
        <v>multiple</v>
      </c>
      <c r="M576" s="8">
        <f>IFERROR(__xludf.DUMMYFUNCTION("""COMPUTED_VALUE"""),1.0)</f>
        <v>1</v>
      </c>
      <c r="N576" s="8">
        <f>IFERROR(__xludf.DUMMYFUNCTION("""COMPUTED_VALUE"""),2.0)</f>
        <v>2</v>
      </c>
      <c r="O576" s="8"/>
      <c r="P576" s="8"/>
      <c r="Q576" s="8"/>
      <c r="R576" s="8"/>
      <c r="S576" s="8"/>
      <c r="T576" s="8"/>
      <c r="U576" s="8"/>
      <c r="V576" s="8"/>
      <c r="W576" s="8"/>
      <c r="X576" s="8"/>
      <c r="Y576" s="8"/>
      <c r="Z576" s="8"/>
    </row>
    <row r="577">
      <c r="A577" s="8">
        <f>IFERROR(__xludf.DUMMYFUNCTION("""COMPUTED_VALUE"""),918.0)</f>
        <v>918</v>
      </c>
      <c r="B577" s="8" t="str">
        <f>IFERROR(__xludf.DUMMYFUNCTION("""COMPUTED_VALUE"""),"tree")</f>
        <v>tree</v>
      </c>
      <c r="C577" s="8" t="str">
        <f>IFERROR(__xludf.DUMMYFUNCTION("""COMPUTED_VALUE"""),"graft")</f>
        <v>graft</v>
      </c>
      <c r="D577" s="55" t="str">
        <f>IFERROR(__xludf.DUMMYFUNCTION("""COMPUTED_VALUE"""),"Artocarpus heterophyllus")</f>
        <v>Artocarpus heterophyllus</v>
      </c>
      <c r="E577" s="8" t="str">
        <f>IFERROR(__xludf.DUMMYFUNCTION("""COMPUTED_VALUE"""),"Xains world soft seedling")</f>
        <v>Xains world soft seedling</v>
      </c>
      <c r="F577" s="8" t="str">
        <f>IFERROR(__xludf.DUMMYFUNCTION("""COMPUTED_VALUE"""),"Jackfruit")</f>
        <v>Jackfruit</v>
      </c>
      <c r="G577" s="8" t="str">
        <f>IFERROR(__xludf.DUMMYFUNCTION("""COMPUTED_VALUE"""),"Jacquier")</f>
        <v>Jacquier</v>
      </c>
      <c r="H577" s="8" t="str">
        <f>IFERROR(__xludf.DUMMYFUNCTION("""COMPUTED_VALUE"""),"Jackfruit")</f>
        <v>Jackfruit</v>
      </c>
      <c r="I577" s="8">
        <f>IFERROR(__xludf.DUMMYFUNCTION("""COMPUTED_VALUE"""),113.0)</f>
        <v>113</v>
      </c>
      <c r="J577" s="8"/>
      <c r="K577" s="8">
        <f>IFERROR(__xludf.DUMMYFUNCTION("""COMPUTED_VALUE"""),9136.0)</f>
        <v>9136</v>
      </c>
      <c r="L577" s="8" t="str">
        <f>IFERROR(__xludf.DUMMYFUNCTION("""COMPUTED_VALUE"""),"multiple")</f>
        <v>multiple</v>
      </c>
      <c r="M577" s="8">
        <f>IFERROR(__xludf.DUMMYFUNCTION("""COMPUTED_VALUE"""),1.0)</f>
        <v>1</v>
      </c>
      <c r="N577" s="8">
        <f>IFERROR(__xludf.DUMMYFUNCTION("""COMPUTED_VALUE"""),1.0)</f>
        <v>1</v>
      </c>
      <c r="O577" s="8"/>
      <c r="P577" s="8"/>
      <c r="Q577" s="8"/>
      <c r="R577" s="8"/>
      <c r="S577" s="8"/>
      <c r="T577" s="8"/>
      <c r="U577" s="8"/>
      <c r="V577" s="8"/>
      <c r="W577" s="8"/>
      <c r="X577" s="8"/>
      <c r="Y577" s="8"/>
      <c r="Z577" s="8"/>
    </row>
    <row r="578">
      <c r="A578" s="8">
        <f>IFERROR(__xludf.DUMMYFUNCTION("""COMPUTED_VALUE"""),919.0)</f>
        <v>919</v>
      </c>
      <c r="B578" s="8" t="str">
        <f>IFERROR(__xludf.DUMMYFUNCTION("""COMPUTED_VALUE"""),"tree")</f>
        <v>tree</v>
      </c>
      <c r="C578" s="8" t="str">
        <f>IFERROR(__xludf.DUMMYFUNCTION("""COMPUTED_VALUE"""),"graft")</f>
        <v>graft</v>
      </c>
      <c r="D578" s="55" t="str">
        <f>IFERROR(__xludf.DUMMYFUNCTION("""COMPUTED_VALUE"""),"Manilkara zapota")</f>
        <v>Manilkara zapota</v>
      </c>
      <c r="E578" s="8" t="str">
        <f>IFERROR(__xludf.DUMMYFUNCTION("""COMPUTED_VALUE"""),"Butterscotch")</f>
        <v>Butterscotch</v>
      </c>
      <c r="F578" s="8" t="str">
        <f>IFERROR(__xludf.DUMMYFUNCTION("""COMPUTED_VALUE"""),"Sapodilla")</f>
        <v>Sapodilla</v>
      </c>
      <c r="G578" s="8" t="str">
        <f>IFERROR(__xludf.DUMMYFUNCTION("""COMPUTED_VALUE"""),"Sapotille")</f>
        <v>Sapotille</v>
      </c>
      <c r="H578" s="8" t="str">
        <f>IFERROR(__xludf.DUMMYFUNCTION("""COMPUTED_VALUE"""),"air_layer")</f>
        <v>air_layer</v>
      </c>
      <c r="I578" s="8" t="str">
        <f>IFERROR(__xludf.DUMMYFUNCTION("""COMPUTED_VALUE"""),"184")</f>
        <v>184</v>
      </c>
      <c r="J578" s="8"/>
      <c r="K578" s="8">
        <f>IFERROR(__xludf.DUMMYFUNCTION("""COMPUTED_VALUE"""),9143.0)</f>
        <v>9143</v>
      </c>
      <c r="L578" s="8" t="str">
        <f>IFERROR(__xludf.DUMMYFUNCTION("""COMPUTED_VALUE"""),"multiple")</f>
        <v>multiple</v>
      </c>
      <c r="M578" s="8">
        <f>IFERROR(__xludf.DUMMYFUNCTION("""COMPUTED_VALUE"""),1.0)</f>
        <v>1</v>
      </c>
      <c r="N578" s="8">
        <f>IFERROR(__xludf.DUMMYFUNCTION("""COMPUTED_VALUE"""),1.0)</f>
        <v>1</v>
      </c>
      <c r="O578" s="8"/>
      <c r="P578" s="8"/>
      <c r="Q578" s="8"/>
      <c r="R578" s="8"/>
      <c r="S578" s="8"/>
      <c r="T578" s="8"/>
      <c r="U578" s="8"/>
      <c r="V578" s="8"/>
      <c r="W578" s="8"/>
      <c r="X578" s="8"/>
      <c r="Y578" s="8"/>
      <c r="Z578" s="8"/>
    </row>
    <row r="579">
      <c r="A579" s="8">
        <f>IFERROR(__xludf.DUMMYFUNCTION("""COMPUTED_VALUE"""),920.0)</f>
        <v>920</v>
      </c>
      <c r="B579" s="8" t="str">
        <f>IFERROR(__xludf.DUMMYFUNCTION("""COMPUTED_VALUE"""),"tree")</f>
        <v>tree</v>
      </c>
      <c r="C579" s="8" t="str">
        <f>IFERROR(__xludf.DUMMYFUNCTION("""COMPUTED_VALUE"""),"graft")</f>
        <v>graft</v>
      </c>
      <c r="D579" s="55" t="str">
        <f>IFERROR(__xludf.DUMMYFUNCTION("""COMPUTED_VALUE"""),"Ziziphus jujuba")</f>
        <v>Ziziphus jujuba</v>
      </c>
      <c r="E579" s="8" t="str">
        <f>IFERROR(__xludf.DUMMYFUNCTION("""COMPUTED_VALUE"""),"Thai Giant")</f>
        <v>Thai Giant</v>
      </c>
      <c r="F579" s="8" t="str">
        <f>IFERROR(__xludf.DUMMYFUNCTION("""COMPUTED_VALUE"""),"Jujube")</f>
        <v>Jujube</v>
      </c>
      <c r="G579" s="8" t="str">
        <f>IFERROR(__xludf.DUMMYFUNCTION("""COMPUTED_VALUE"""),"Jujube")</f>
        <v>Jujube</v>
      </c>
      <c r="H579" s="8" t="str">
        <f>IFERROR(__xludf.DUMMYFUNCTION("""COMPUTED_VALUE"""),"Jujube")</f>
        <v>Jujube</v>
      </c>
      <c r="I579" s="8" t="str">
        <f>IFERROR(__xludf.DUMMYFUNCTION("""COMPUTED_VALUE"""),"138")</f>
        <v>138</v>
      </c>
      <c r="J579" s="8"/>
      <c r="K579" s="8">
        <f>IFERROR(__xludf.DUMMYFUNCTION("""COMPUTED_VALUE"""),9176.0)</f>
        <v>9176</v>
      </c>
      <c r="L579" s="8">
        <f>IFERROR(__xludf.DUMMYFUNCTION("""COMPUTED_VALUE"""),1.0)</f>
        <v>1</v>
      </c>
      <c r="M579" s="8">
        <f>IFERROR(__xludf.DUMMYFUNCTION("""COMPUTED_VALUE"""),3.0)</f>
        <v>3</v>
      </c>
      <c r="N579" s="8">
        <f>IFERROR(__xludf.DUMMYFUNCTION("""COMPUTED_VALUE"""),3.0)</f>
        <v>3</v>
      </c>
      <c r="O579" s="8"/>
      <c r="P579" s="8"/>
      <c r="Q579" s="8"/>
      <c r="R579" s="8"/>
      <c r="S579" s="8"/>
      <c r="T579" s="8"/>
      <c r="U579" s="8"/>
      <c r="V579" s="8"/>
      <c r="W579" s="8"/>
      <c r="X579" s="8"/>
      <c r="Y579" s="8"/>
      <c r="Z579" s="8"/>
    </row>
    <row r="580">
      <c r="A580" s="8">
        <f>IFERROR(__xludf.DUMMYFUNCTION("""COMPUTED_VALUE"""),921.0)</f>
        <v>921</v>
      </c>
      <c r="B580" s="8" t="str">
        <f>IFERROR(__xludf.DUMMYFUNCTION("""COMPUTED_VALUE"""),"tree")</f>
        <v>tree</v>
      </c>
      <c r="C580" s="8" t="str">
        <f>IFERROR(__xludf.DUMMYFUNCTION("""COMPUTED_VALUE"""),"graft")</f>
        <v>graft</v>
      </c>
      <c r="D580" s="55" t="str">
        <f>IFERROR(__xludf.DUMMYFUNCTION("""COMPUTED_VALUE"""),"Persea americana")</f>
        <v>Persea americana</v>
      </c>
      <c r="E580" s="8" t="str">
        <f>IFERROR(__xludf.DUMMYFUNCTION("""COMPUTED_VALUE"""),"Doni")</f>
        <v>Doni</v>
      </c>
      <c r="F580" s="8" t="str">
        <f>IFERROR(__xludf.DUMMYFUNCTION("""COMPUTED_VALUE"""),"Avocado")</f>
        <v>Avocado</v>
      </c>
      <c r="G580" s="8" t="str">
        <f>IFERROR(__xludf.DUMMYFUNCTION("""COMPUTED_VALUE"""),"Avocat")</f>
        <v>Avocat</v>
      </c>
      <c r="H580" s="8" t="str">
        <f>IFERROR(__xludf.DUMMYFUNCTION("""COMPUTED_VALUE"""),"cutting")</f>
        <v>cutting</v>
      </c>
      <c r="I580" s="8" t="str">
        <f>IFERROR(__xludf.DUMMYFUNCTION("""COMPUTED_VALUE"""),"M20")</f>
        <v>M20</v>
      </c>
      <c r="J580" s="8"/>
      <c r="K580" s="8">
        <f>IFERROR(__xludf.DUMMYFUNCTION("""COMPUTED_VALUE"""),9195.0)</f>
        <v>9195</v>
      </c>
      <c r="L580" s="8">
        <f>IFERROR(__xludf.DUMMYFUNCTION("""COMPUTED_VALUE"""),1.0)</f>
        <v>1</v>
      </c>
      <c r="M580" s="8">
        <f>IFERROR(__xludf.DUMMYFUNCTION("""COMPUTED_VALUE"""),1.0)</f>
        <v>1</v>
      </c>
      <c r="N580" s="8">
        <f>IFERROR(__xludf.DUMMYFUNCTION("""COMPUTED_VALUE"""),2.0)</f>
        <v>2</v>
      </c>
      <c r="O580" s="8"/>
      <c r="P580" s="8"/>
      <c r="Q580" s="8"/>
      <c r="R580" s="8"/>
      <c r="S580" s="8"/>
      <c r="T580" s="8"/>
      <c r="U580" s="8"/>
      <c r="V580" s="8"/>
      <c r="W580" s="8"/>
      <c r="X580" s="8"/>
      <c r="Y580" s="8"/>
      <c r="Z580" s="8"/>
    </row>
    <row r="581">
      <c r="A581" s="8">
        <f>IFERROR(__xludf.DUMMYFUNCTION("""COMPUTED_VALUE"""),922.0)</f>
        <v>922</v>
      </c>
      <c r="B581" s="8" t="str">
        <f>IFERROR(__xludf.DUMMYFUNCTION("""COMPUTED_VALUE"""),"tree")</f>
        <v>tree</v>
      </c>
      <c r="C581" s="8" t="str">
        <f>IFERROR(__xludf.DUMMYFUNCTION("""COMPUTED_VALUE"""),"graft")</f>
        <v>graft</v>
      </c>
      <c r="D581" s="55" t="str">
        <f>IFERROR(__xludf.DUMMYFUNCTION("""COMPUTED_VALUE"""),"Persea americana")</f>
        <v>Persea americana</v>
      </c>
      <c r="E581" s="8" t="str">
        <f>IFERROR(__xludf.DUMMYFUNCTION("""COMPUTED_VALUE"""),"Russell")</f>
        <v>Russell</v>
      </c>
      <c r="F581" s="8" t="str">
        <f>IFERROR(__xludf.DUMMYFUNCTION("""COMPUTED_VALUE"""),"Avocado")</f>
        <v>Avocado</v>
      </c>
      <c r="G581" s="8" t="str">
        <f>IFERROR(__xludf.DUMMYFUNCTION("""COMPUTED_VALUE"""),"Avocat")</f>
        <v>Avocat</v>
      </c>
      <c r="H581" s="8" t="str">
        <f>IFERROR(__xludf.DUMMYFUNCTION("""COMPUTED_VALUE"""),"Avocado")</f>
        <v>Avocado</v>
      </c>
      <c r="I581" s="8" t="str">
        <f>IFERROR(__xludf.DUMMYFUNCTION("""COMPUTED_VALUE"""),"180")</f>
        <v>180</v>
      </c>
      <c r="J581" s="8"/>
      <c r="K581" s="8">
        <f>IFERROR(__xludf.DUMMYFUNCTION("""COMPUTED_VALUE"""),9198.0)</f>
        <v>9198</v>
      </c>
      <c r="L581" s="8">
        <f>IFERROR(__xludf.DUMMYFUNCTION("""COMPUTED_VALUE"""),1.0)</f>
        <v>1</v>
      </c>
      <c r="M581" s="8">
        <f>IFERROR(__xludf.DUMMYFUNCTION("""COMPUTED_VALUE"""),1.0)</f>
        <v>1</v>
      </c>
      <c r="N581" s="8">
        <f>IFERROR(__xludf.DUMMYFUNCTION("""COMPUTED_VALUE"""),1.0)</f>
        <v>1</v>
      </c>
      <c r="O581" s="8"/>
      <c r="P581" s="8"/>
      <c r="Q581" s="8"/>
      <c r="R581" s="8"/>
      <c r="S581" s="8"/>
      <c r="T581" s="8"/>
      <c r="U581" s="8"/>
      <c r="V581" s="8"/>
      <c r="W581" s="8"/>
      <c r="X581" s="8"/>
      <c r="Y581" s="8"/>
      <c r="Z581" s="8"/>
    </row>
    <row r="582">
      <c r="A582" s="8">
        <f>IFERROR(__xludf.DUMMYFUNCTION("""COMPUTED_VALUE"""),923.0)</f>
        <v>923</v>
      </c>
      <c r="B582" s="8" t="str">
        <f>IFERROR(__xludf.DUMMYFUNCTION("""COMPUTED_VALUE"""),"tree")</f>
        <v>tree</v>
      </c>
      <c r="C582" s="8" t="str">
        <f>IFERROR(__xludf.DUMMYFUNCTION("""COMPUTED_VALUE"""),"seed")</f>
        <v>seed</v>
      </c>
      <c r="D582" s="55" t="str">
        <f>IFERROR(__xludf.DUMMYFUNCTION("""COMPUTED_VALUE"""),"Garcinia humilis")</f>
        <v>Garcinia humilis</v>
      </c>
      <c r="E582" s="8"/>
      <c r="F582" s="8" t="str">
        <f>IFERROR(__xludf.DUMMYFUNCTION("""COMPUTED_VALUE"""),"Achacha")</f>
        <v>Achacha</v>
      </c>
      <c r="G582" s="8" t="str">
        <f>IFERROR(__xludf.DUMMYFUNCTION("""COMPUTED_VALUE"""),"Achacha")</f>
        <v>Achacha</v>
      </c>
      <c r="H582" s="8" t="str">
        <f>IFERROR(__xludf.DUMMYFUNCTION("""COMPUTED_VALUE"""),"seed")</f>
        <v>seed</v>
      </c>
      <c r="I582" s="8" t="str">
        <f>IFERROR(__xludf.DUMMYFUNCTION("""COMPUTED_VALUE"""),"208A")</f>
        <v>208A</v>
      </c>
      <c r="J582" s="8"/>
      <c r="K582" s="8">
        <f>IFERROR(__xludf.DUMMYFUNCTION("""COMPUTED_VALUE"""),9214.0)</f>
        <v>9214</v>
      </c>
      <c r="L582" s="8"/>
      <c r="M582" s="8"/>
      <c r="N582" s="8"/>
      <c r="O582" s="8"/>
      <c r="P582" s="8"/>
      <c r="Q582" s="8"/>
      <c r="R582" s="8"/>
      <c r="S582" s="8"/>
      <c r="T582" s="8"/>
      <c r="U582" s="8"/>
      <c r="V582" s="8"/>
      <c r="W582" s="8"/>
      <c r="X582" s="8"/>
      <c r="Y582" s="8"/>
      <c r="Z582" s="8"/>
    </row>
    <row r="583">
      <c r="A583" s="8">
        <f>IFERROR(__xludf.DUMMYFUNCTION("""COMPUTED_VALUE"""),924.0)</f>
        <v>924</v>
      </c>
      <c r="B583" s="8" t="str">
        <f>IFERROR(__xludf.DUMMYFUNCTION("""COMPUTED_VALUE"""),"tree")</f>
        <v>tree</v>
      </c>
      <c r="C583" s="8" t="str">
        <f>IFERROR(__xludf.DUMMYFUNCTION("""COMPUTED_VALUE"""),"air_layer")</f>
        <v>air_layer</v>
      </c>
      <c r="D583" s="55" t="str">
        <f>IFERROR(__xludf.DUMMYFUNCTION("""COMPUTED_VALUE"""),"Syzygium malaccense")</f>
        <v>Syzygium malaccense</v>
      </c>
      <c r="E583" s="8" t="str">
        <f>IFERROR(__xludf.DUMMYFUNCTION("""COMPUTED_VALUE"""),"Seedling")</f>
        <v>Seedling</v>
      </c>
      <c r="F583" s="8" t="str">
        <f>IFERROR(__xludf.DUMMYFUNCTION("""COMPUTED_VALUE"""),"Malay Apple")</f>
        <v>Malay Apple</v>
      </c>
      <c r="G583" s="8" t="str">
        <f>IFERROR(__xludf.DUMMYFUNCTION("""COMPUTED_VALUE"""),"Pomme Malaisienne")</f>
        <v>Pomme Malaisienne</v>
      </c>
      <c r="H583" s="8" t="str">
        <f>IFERROR(__xludf.DUMMYFUNCTION("""COMPUTED_VALUE"""),"Malay Apple")</f>
        <v>Malay Apple</v>
      </c>
      <c r="I583" s="8" t="str">
        <f>IFERROR(__xludf.DUMMYFUNCTION("""COMPUTED_VALUE"""),"110A")</f>
        <v>110A</v>
      </c>
      <c r="J583" s="8"/>
      <c r="K583" s="8">
        <f>IFERROR(__xludf.DUMMYFUNCTION("""COMPUTED_VALUE"""),9230.0)</f>
        <v>9230</v>
      </c>
      <c r="L583" s="8">
        <f>IFERROR(__xludf.DUMMYFUNCTION("""COMPUTED_VALUE"""),1.0)</f>
        <v>1</v>
      </c>
      <c r="M583" s="8">
        <f>IFERROR(__xludf.DUMMYFUNCTION("""COMPUTED_VALUE"""),2.0)</f>
        <v>2</v>
      </c>
      <c r="N583" s="8">
        <f>IFERROR(__xludf.DUMMYFUNCTION("""COMPUTED_VALUE"""),2.0)</f>
        <v>2</v>
      </c>
      <c r="O583" s="8"/>
      <c r="P583" s="8"/>
      <c r="Q583" s="8"/>
      <c r="R583" s="8"/>
      <c r="S583" s="8"/>
      <c r="T583" s="8"/>
      <c r="U583" s="8"/>
      <c r="V583" s="8"/>
      <c r="W583" s="8"/>
      <c r="X583" s="8"/>
      <c r="Y583" s="8"/>
      <c r="Z583" s="8"/>
    </row>
    <row r="584">
      <c r="A584" s="8">
        <f>IFERROR(__xludf.DUMMYFUNCTION("""COMPUTED_VALUE"""),925.0)</f>
        <v>925</v>
      </c>
      <c r="B584" s="8" t="str">
        <f>IFERROR(__xludf.DUMMYFUNCTION("""COMPUTED_VALUE"""),"tree")</f>
        <v>tree</v>
      </c>
      <c r="C584" s="8" t="str">
        <f>IFERROR(__xludf.DUMMYFUNCTION("""COMPUTED_VALUE"""),"graft")</f>
        <v>graft</v>
      </c>
      <c r="D584" s="55" t="str">
        <f>IFERROR(__xludf.DUMMYFUNCTION("""COMPUTED_VALUE"""),"Artocarpus heterophyllus")</f>
        <v>Artocarpus heterophyllus</v>
      </c>
      <c r="E584" s="8" t="str">
        <f>IFERROR(__xludf.DUMMYFUNCTION("""COMPUTED_VALUE"""),"Bannana Crunch Seedling")</f>
        <v>Bannana Crunch Seedling</v>
      </c>
      <c r="F584" s="8" t="str">
        <f>IFERROR(__xludf.DUMMYFUNCTION("""COMPUTED_VALUE"""),"Jackfruit")</f>
        <v>Jackfruit</v>
      </c>
      <c r="G584" s="8" t="str">
        <f>IFERROR(__xludf.DUMMYFUNCTION("""COMPUTED_VALUE"""),"Jacquier")</f>
        <v>Jacquier</v>
      </c>
      <c r="H584" s="8" t="str">
        <f>IFERROR(__xludf.DUMMYFUNCTION("""COMPUTED_VALUE"""),"Jackfruit")</f>
        <v>Jackfruit</v>
      </c>
      <c r="I584" s="8" t="str">
        <f>IFERROR(__xludf.DUMMYFUNCTION("""COMPUTED_VALUE"""),"211")</f>
        <v>211</v>
      </c>
      <c r="J584" s="8"/>
      <c r="K584" s="8">
        <f>IFERROR(__xludf.DUMMYFUNCTION("""COMPUTED_VALUE"""),9232.0)</f>
        <v>9232</v>
      </c>
      <c r="L584" s="8" t="str">
        <f>IFERROR(__xludf.DUMMYFUNCTION("""COMPUTED_VALUE"""),"multiple")</f>
        <v>multiple</v>
      </c>
      <c r="M584" s="8">
        <f>IFERROR(__xludf.DUMMYFUNCTION("""COMPUTED_VALUE"""),1.0)</f>
        <v>1</v>
      </c>
      <c r="N584" s="8">
        <f>IFERROR(__xludf.DUMMYFUNCTION("""COMPUTED_VALUE"""),1.0)</f>
        <v>1</v>
      </c>
      <c r="O584" s="8"/>
      <c r="P584" s="8"/>
      <c r="Q584" s="8"/>
      <c r="R584" s="8"/>
      <c r="S584" s="8"/>
      <c r="T584" s="8"/>
      <c r="U584" s="8"/>
      <c r="V584" s="8"/>
      <c r="W584" s="8"/>
      <c r="X584" s="8"/>
      <c r="Y584" s="8"/>
      <c r="Z584" s="8"/>
    </row>
    <row r="585">
      <c r="A585" s="8">
        <f>IFERROR(__xludf.DUMMYFUNCTION("""COMPUTED_VALUE"""),926.0)</f>
        <v>926</v>
      </c>
      <c r="B585" s="8" t="str">
        <f>IFERROR(__xludf.DUMMYFUNCTION("""COMPUTED_VALUE"""),"tree")</f>
        <v>tree</v>
      </c>
      <c r="C585" s="8" t="str">
        <f>IFERROR(__xludf.DUMMYFUNCTION("""COMPUTED_VALUE"""),"graft")</f>
        <v>graft</v>
      </c>
      <c r="D585" s="55" t="str">
        <f>IFERROR(__xludf.DUMMYFUNCTION("""COMPUTED_VALUE"""),"Manilkara zapota")</f>
        <v>Manilkara zapota</v>
      </c>
      <c r="E585" s="8" t="str">
        <f>IFERROR(__xludf.DUMMYFUNCTION("""COMPUTED_VALUE"""),"Seedling")</f>
        <v>Seedling</v>
      </c>
      <c r="F585" s="8" t="str">
        <f>IFERROR(__xludf.DUMMYFUNCTION("""COMPUTED_VALUE"""),"Sapodilla")</f>
        <v>Sapodilla</v>
      </c>
      <c r="G585" s="8" t="str">
        <f>IFERROR(__xludf.DUMMYFUNCTION("""COMPUTED_VALUE"""),"Sapotille")</f>
        <v>Sapotille</v>
      </c>
      <c r="H585" s="8"/>
      <c r="I585" s="8" t="str">
        <f>IFERROR(__xludf.DUMMYFUNCTION("""COMPUTED_VALUE"""),"218")</f>
        <v>218</v>
      </c>
      <c r="J585" s="8"/>
      <c r="K585" s="8"/>
      <c r="L585" s="8" t="str">
        <f>IFERROR(__xludf.DUMMYFUNCTION("""COMPUTED_VALUE"""),"multiple")</f>
        <v>multiple</v>
      </c>
      <c r="M585" s="8">
        <f>IFERROR(__xludf.DUMMYFUNCTION("""COMPUTED_VALUE"""),0.0)</f>
        <v>0</v>
      </c>
      <c r="N585" s="8">
        <f>IFERROR(__xludf.DUMMYFUNCTION("""COMPUTED_VALUE"""),0.0)</f>
        <v>0</v>
      </c>
      <c r="O585" s="8"/>
      <c r="P585" s="8"/>
      <c r="Q585" s="8"/>
      <c r="R585" s="8"/>
      <c r="S585" s="8"/>
      <c r="T585" s="8"/>
      <c r="U585" s="8"/>
      <c r="V585" s="8"/>
      <c r="W585" s="8"/>
      <c r="X585" s="8"/>
      <c r="Y585" s="8"/>
      <c r="Z585" s="8"/>
    </row>
    <row r="586">
      <c r="A586" s="8">
        <f>IFERROR(__xludf.DUMMYFUNCTION("""COMPUTED_VALUE"""),927.0)</f>
        <v>927</v>
      </c>
      <c r="B586" s="8" t="str">
        <f>IFERROR(__xludf.DUMMYFUNCTION("""COMPUTED_VALUE"""),"tree")</f>
        <v>tree</v>
      </c>
      <c r="C586" s="8" t="str">
        <f>IFERROR(__xludf.DUMMYFUNCTION("""COMPUTED_VALUE"""),"graft")</f>
        <v>graft</v>
      </c>
      <c r="D586" s="55" t="str">
        <f>IFERROR(__xludf.DUMMYFUNCTION("""COMPUTED_VALUE"""),"Manilkara zapota")</f>
        <v>Manilkara zapota</v>
      </c>
      <c r="E586" s="8" t="str">
        <f>IFERROR(__xludf.DUMMYFUNCTION("""COMPUTED_VALUE"""),"Seedling")</f>
        <v>Seedling</v>
      </c>
      <c r="F586" s="8" t="str">
        <f>IFERROR(__xludf.DUMMYFUNCTION("""COMPUTED_VALUE"""),"Sapodilla")</f>
        <v>Sapodilla</v>
      </c>
      <c r="G586" s="8" t="str">
        <f>IFERROR(__xludf.DUMMYFUNCTION("""COMPUTED_VALUE"""),"Sapotille")</f>
        <v>Sapotille</v>
      </c>
      <c r="H586" s="8" t="str">
        <f>IFERROR(__xludf.DUMMYFUNCTION("""COMPUTED_VALUE"""),"Sapodilla")</f>
        <v>Sapodilla</v>
      </c>
      <c r="I586" s="8" t="str">
        <f>IFERROR(__xludf.DUMMYFUNCTION("""COMPUTED_VALUE"""),"177A")</f>
        <v>177A</v>
      </c>
      <c r="J586" s="8"/>
      <c r="K586" s="8"/>
      <c r="L586" s="8" t="str">
        <f>IFERROR(__xludf.DUMMYFUNCTION("""COMPUTED_VALUE"""),"multiple")</f>
        <v>multiple</v>
      </c>
      <c r="M586" s="8">
        <f>IFERROR(__xludf.DUMMYFUNCTION("""COMPUTED_VALUE"""),0.0)</f>
        <v>0</v>
      </c>
      <c r="N586" s="8">
        <f>IFERROR(__xludf.DUMMYFUNCTION("""COMPUTED_VALUE"""),0.0)</f>
        <v>0</v>
      </c>
      <c r="O586" s="8"/>
      <c r="P586" s="8"/>
      <c r="Q586" s="8"/>
      <c r="R586" s="8"/>
      <c r="S586" s="8"/>
      <c r="T586" s="8"/>
      <c r="U586" s="8"/>
      <c r="V586" s="8"/>
      <c r="W586" s="8"/>
      <c r="X586" s="8"/>
      <c r="Y586" s="8"/>
      <c r="Z586" s="8"/>
    </row>
    <row r="587">
      <c r="A587" s="8">
        <f>IFERROR(__xludf.DUMMYFUNCTION("""COMPUTED_VALUE"""),928.0)</f>
        <v>928</v>
      </c>
      <c r="B587" s="8" t="str">
        <f>IFERROR(__xludf.DUMMYFUNCTION("""COMPUTED_VALUE"""),"tree")</f>
        <v>tree</v>
      </c>
      <c r="C587" s="8" t="str">
        <f>IFERROR(__xludf.DUMMYFUNCTION("""COMPUTED_VALUE"""),"graft")</f>
        <v>graft</v>
      </c>
      <c r="D587" s="55" t="str">
        <f>IFERROR(__xludf.DUMMYFUNCTION("""COMPUTED_VALUE"""),"Manilkara zapota")</f>
        <v>Manilkara zapota</v>
      </c>
      <c r="E587" s="8" t="str">
        <f>IFERROR(__xludf.DUMMYFUNCTION("""COMPUTED_VALUE"""),"Seedling")</f>
        <v>Seedling</v>
      </c>
      <c r="F587" s="8" t="str">
        <f>IFERROR(__xludf.DUMMYFUNCTION("""COMPUTED_VALUE"""),"Sapodilla")</f>
        <v>Sapodilla</v>
      </c>
      <c r="G587" s="8" t="str">
        <f>IFERROR(__xludf.DUMMYFUNCTION("""COMPUTED_VALUE"""),"Sapotille")</f>
        <v>Sapotille</v>
      </c>
      <c r="H587" s="8" t="str">
        <f>IFERROR(__xludf.DUMMYFUNCTION("""COMPUTED_VALUE"""),"Sapodilla")</f>
        <v>Sapodilla</v>
      </c>
      <c r="I587" s="8" t="str">
        <f>IFERROR(__xludf.DUMMYFUNCTION("""COMPUTED_VALUE"""),"150")</f>
        <v>150</v>
      </c>
      <c r="J587" s="8"/>
      <c r="K587" s="8"/>
      <c r="L587" s="8" t="str">
        <f>IFERROR(__xludf.DUMMYFUNCTION("""COMPUTED_VALUE"""),"multiple")</f>
        <v>multiple</v>
      </c>
      <c r="M587" s="8">
        <f>IFERROR(__xludf.DUMMYFUNCTION("""COMPUTED_VALUE"""),0.0)</f>
        <v>0</v>
      </c>
      <c r="N587" s="8">
        <f>IFERROR(__xludf.DUMMYFUNCTION("""COMPUTED_VALUE"""),0.0)</f>
        <v>0</v>
      </c>
      <c r="O587" s="8"/>
      <c r="P587" s="8"/>
      <c r="Q587" s="8"/>
      <c r="R587" s="8"/>
      <c r="S587" s="8"/>
      <c r="T587" s="8"/>
      <c r="U587" s="8"/>
      <c r="V587" s="8"/>
      <c r="W587" s="8"/>
      <c r="X587" s="8"/>
      <c r="Y587" s="8"/>
      <c r="Z587" s="8"/>
    </row>
    <row r="588">
      <c r="A588" s="8">
        <f>IFERROR(__xludf.DUMMYFUNCTION("""COMPUTED_VALUE"""),929.0)</f>
        <v>929</v>
      </c>
      <c r="B588" s="8" t="str">
        <f>IFERROR(__xludf.DUMMYFUNCTION("""COMPUTED_VALUE"""),"tree")</f>
        <v>tree</v>
      </c>
      <c r="C588" s="8" t="str">
        <f>IFERROR(__xludf.DUMMYFUNCTION("""COMPUTED_VALUE"""),"graft")</f>
        <v>graft</v>
      </c>
      <c r="D588" s="55" t="str">
        <f>IFERROR(__xludf.DUMMYFUNCTION("""COMPUTED_VALUE"""),"Persea americana")</f>
        <v>Persea americana</v>
      </c>
      <c r="E588" s="8" t="str">
        <f>IFERROR(__xludf.DUMMYFUNCTION("""COMPUTED_VALUE"""),"Doni")</f>
        <v>Doni</v>
      </c>
      <c r="F588" s="8" t="str">
        <f>IFERROR(__xludf.DUMMYFUNCTION("""COMPUTED_VALUE"""),"Avocado")</f>
        <v>Avocado</v>
      </c>
      <c r="G588" s="8" t="str">
        <f>IFERROR(__xludf.DUMMYFUNCTION("""COMPUTED_VALUE"""),"Avocat")</f>
        <v>Avocat</v>
      </c>
      <c r="H588" s="8" t="str">
        <f>IFERROR(__xludf.DUMMYFUNCTION("""COMPUTED_VALUE"""),"Avocado")</f>
        <v>Avocado</v>
      </c>
      <c r="I588" s="8" t="str">
        <f>IFERROR(__xludf.DUMMYFUNCTION("""COMPUTED_VALUE"""),"085")</f>
        <v>085</v>
      </c>
      <c r="J588" s="8"/>
      <c r="K588" s="8">
        <f>IFERROR(__xludf.DUMMYFUNCTION("""COMPUTED_VALUE"""),9194.0)</f>
        <v>9194</v>
      </c>
      <c r="L588" s="8">
        <f>IFERROR(__xludf.DUMMYFUNCTION("""COMPUTED_VALUE"""),1.0)</f>
        <v>1</v>
      </c>
      <c r="M588" s="8">
        <f>IFERROR(__xludf.DUMMYFUNCTION("""COMPUTED_VALUE"""),1.0)</f>
        <v>1</v>
      </c>
      <c r="N588" s="8">
        <f>IFERROR(__xludf.DUMMYFUNCTION("""COMPUTED_VALUE"""),2.0)</f>
        <v>2</v>
      </c>
      <c r="O588" s="8"/>
      <c r="P588" s="8"/>
      <c r="Q588" s="8"/>
      <c r="R588" s="8"/>
      <c r="S588" s="8"/>
      <c r="T588" s="8"/>
      <c r="U588" s="8"/>
      <c r="V588" s="8"/>
      <c r="W588" s="8"/>
      <c r="X588" s="8"/>
      <c r="Y588" s="8"/>
      <c r="Z588" s="8"/>
    </row>
    <row r="589">
      <c r="A589" s="8">
        <f>IFERROR(__xludf.DUMMYFUNCTION("""COMPUTED_VALUE"""),930.0)</f>
        <v>930</v>
      </c>
      <c r="B589" s="8" t="str">
        <f>IFERROR(__xludf.DUMMYFUNCTION("""COMPUTED_VALUE"""),"tree")</f>
        <v>tree</v>
      </c>
      <c r="C589" s="8" t="str">
        <f>IFERROR(__xludf.DUMMYFUNCTION("""COMPUTED_VALUE"""),"graft")</f>
        <v>graft</v>
      </c>
      <c r="D589" s="55" t="str">
        <f>IFERROR(__xludf.DUMMYFUNCTION("""COMPUTED_VALUE"""),"Persea americana")</f>
        <v>Persea americana</v>
      </c>
      <c r="E589" s="8" t="str">
        <f>IFERROR(__xludf.DUMMYFUNCTION("""COMPUTED_VALUE"""),"Brooks Late")</f>
        <v>Brooks Late</v>
      </c>
      <c r="F589" s="8" t="str">
        <f>IFERROR(__xludf.DUMMYFUNCTION("""COMPUTED_VALUE"""),"Avocado")</f>
        <v>Avocado</v>
      </c>
      <c r="G589" s="8" t="str">
        <f>IFERROR(__xludf.DUMMYFUNCTION("""COMPUTED_VALUE"""),"Avocat")</f>
        <v>Avocat</v>
      </c>
      <c r="H589" s="8" t="str">
        <f>IFERROR(__xludf.DUMMYFUNCTION("""COMPUTED_VALUE"""),"Avocado")</f>
        <v>Avocado</v>
      </c>
      <c r="I589" s="8" t="str">
        <f>IFERROR(__xludf.DUMMYFUNCTION("""COMPUTED_VALUE"""),"137")</f>
        <v>137</v>
      </c>
      <c r="J589" s="8"/>
      <c r="K589" s="8">
        <f>IFERROR(__xludf.DUMMYFUNCTION("""COMPUTED_VALUE"""),9005.0)</f>
        <v>9005</v>
      </c>
      <c r="L589" s="8">
        <f>IFERROR(__xludf.DUMMYFUNCTION("""COMPUTED_VALUE"""),1.0)</f>
        <v>1</v>
      </c>
      <c r="M589" s="8">
        <f>IFERROR(__xludf.DUMMYFUNCTION("""COMPUTED_VALUE"""),3.0)</f>
        <v>3</v>
      </c>
      <c r="N589" s="8">
        <f>IFERROR(__xludf.DUMMYFUNCTION("""COMPUTED_VALUE"""),4.0)</f>
        <v>4</v>
      </c>
      <c r="O589" s="8"/>
      <c r="P589" s="8"/>
      <c r="Q589" s="8"/>
      <c r="R589" s="8"/>
      <c r="S589" s="8"/>
      <c r="T589" s="8"/>
      <c r="U589" s="8"/>
      <c r="V589" s="8"/>
      <c r="W589" s="8"/>
      <c r="X589" s="8"/>
      <c r="Y589" s="8"/>
      <c r="Z589" s="8"/>
    </row>
    <row r="590">
      <c r="A590" s="8">
        <f>IFERROR(__xludf.DUMMYFUNCTION("""COMPUTED_VALUE"""),1000.0)</f>
        <v>1000</v>
      </c>
      <c r="B590" s="8" t="str">
        <f>IFERROR(__xludf.DUMMYFUNCTION("""COMPUTED_VALUE"""),"tree")</f>
        <v>tree</v>
      </c>
      <c r="C590" s="8" t="str">
        <f>IFERROR(__xludf.DUMMYFUNCTION("""COMPUTED_VALUE"""),"graft")</f>
        <v>graft</v>
      </c>
      <c r="D590" s="55" t="str">
        <f>IFERROR(__xludf.DUMMYFUNCTION("""COMPUTED_VALUE"""),"Artocarpus heterophyllus")</f>
        <v>Artocarpus heterophyllus</v>
      </c>
      <c r="E590" s="8" t="str">
        <f>IFERROR(__xludf.DUMMYFUNCTION("""COMPUTED_VALUE"""),"Seedling")</f>
        <v>Seedling</v>
      </c>
      <c r="F590" s="8" t="str">
        <f>IFERROR(__xludf.DUMMYFUNCTION("""COMPUTED_VALUE"""),"Jackfruit")</f>
        <v>Jackfruit</v>
      </c>
      <c r="G590" s="8" t="str">
        <f>IFERROR(__xludf.DUMMYFUNCTION("""COMPUTED_VALUE"""),"Jacquier")</f>
        <v>Jacquier</v>
      </c>
      <c r="H590" s="8" t="str">
        <f>IFERROR(__xludf.DUMMYFUNCTION("""COMPUTED_VALUE"""),"seed")</f>
        <v>seed</v>
      </c>
      <c r="I590" s="8" t="str">
        <f>IFERROR(__xludf.DUMMYFUNCTION("""COMPUTED_VALUE"""),"129")</f>
        <v>129</v>
      </c>
      <c r="J590" s="8"/>
      <c r="K590" s="8"/>
      <c r="L590" s="8" t="str">
        <f>IFERROR(__xludf.DUMMYFUNCTION("""COMPUTED_VALUE"""),"multiple")</f>
        <v>multiple</v>
      </c>
      <c r="M590" s="8">
        <f>IFERROR(__xludf.DUMMYFUNCTION("""COMPUTED_VALUE"""),1.0)</f>
        <v>1</v>
      </c>
      <c r="N590" s="8">
        <f>IFERROR(__xludf.DUMMYFUNCTION("""COMPUTED_VALUE"""),1.0)</f>
        <v>1</v>
      </c>
      <c r="O590" s="8"/>
      <c r="P590" s="8"/>
      <c r="Q590" s="8"/>
      <c r="R590" s="8"/>
      <c r="S590" s="8"/>
      <c r="T590" s="8"/>
      <c r="U590" s="8"/>
      <c r="V590" s="8"/>
      <c r="W590" s="8"/>
      <c r="X590" s="8"/>
      <c r="Y590" s="8"/>
      <c r="Z590" s="8"/>
    </row>
    <row r="591">
      <c r="A591" s="8">
        <f>IFERROR(__xludf.DUMMYFUNCTION("""COMPUTED_VALUE"""),1001.0)</f>
        <v>1001</v>
      </c>
      <c r="B591" s="8" t="str">
        <f>IFERROR(__xludf.DUMMYFUNCTION("""COMPUTED_VALUE"""),"tree")</f>
        <v>tree</v>
      </c>
      <c r="C591" s="8" t="str">
        <f>IFERROR(__xludf.DUMMYFUNCTION("""COMPUTED_VALUE"""),"graft")</f>
        <v>graft</v>
      </c>
      <c r="D591" s="55" t="str">
        <f>IFERROR(__xludf.DUMMYFUNCTION("""COMPUTED_VALUE"""),"Persea americana")</f>
        <v>Persea americana</v>
      </c>
      <c r="E591" s="8" t="str">
        <f>IFERROR(__xludf.DUMMYFUNCTION("""COMPUTED_VALUE"""),"Seedling")</f>
        <v>Seedling</v>
      </c>
      <c r="F591" s="8" t="str">
        <f>IFERROR(__xludf.DUMMYFUNCTION("""COMPUTED_VALUE"""),"Avocado")</f>
        <v>Avocado</v>
      </c>
      <c r="G591" s="8" t="str">
        <f>IFERROR(__xludf.DUMMYFUNCTION("""COMPUTED_VALUE"""),"Avocat")</f>
        <v>Avocat</v>
      </c>
      <c r="H591" s="8" t="str">
        <f>IFERROR(__xludf.DUMMYFUNCTION("""COMPUTED_VALUE"""),"seed")</f>
        <v>seed</v>
      </c>
      <c r="I591" s="8"/>
      <c r="J591" s="8"/>
      <c r="K591" s="8"/>
      <c r="L591" s="8">
        <f>IFERROR(__xludf.DUMMYFUNCTION("""COMPUTED_VALUE"""),1.0)</f>
        <v>1</v>
      </c>
      <c r="M591" s="8">
        <f>IFERROR(__xludf.DUMMYFUNCTION("""COMPUTED_VALUE"""),8.0)</f>
        <v>8</v>
      </c>
      <c r="N591" s="8">
        <f>IFERROR(__xludf.DUMMYFUNCTION("""COMPUTED_VALUE"""),8.0)</f>
        <v>8</v>
      </c>
      <c r="O591" s="8"/>
      <c r="P591" s="8"/>
      <c r="Q591" s="8"/>
      <c r="R591" s="8"/>
      <c r="S591" s="8"/>
      <c r="T591" s="8"/>
      <c r="U591" s="8"/>
      <c r="V591" s="8"/>
      <c r="W591" s="8"/>
      <c r="X591" s="8"/>
      <c r="Y591" s="8"/>
      <c r="Z591" s="8"/>
    </row>
    <row r="592">
      <c r="A592" s="8">
        <f>IFERROR(__xludf.DUMMYFUNCTION("""COMPUTED_VALUE"""),1002.0)</f>
        <v>1002</v>
      </c>
      <c r="B592" s="8" t="str">
        <f>IFERROR(__xludf.DUMMYFUNCTION("""COMPUTED_VALUE"""),"tree")</f>
        <v>tree</v>
      </c>
      <c r="C592" s="8" t="str">
        <f>IFERROR(__xludf.DUMMYFUNCTION("""COMPUTED_VALUE"""),"graft")</f>
        <v>graft</v>
      </c>
      <c r="D592" s="55" t="str">
        <f>IFERROR(__xludf.DUMMYFUNCTION("""COMPUTED_VALUE"""),"Persea americana")</f>
        <v>Persea americana</v>
      </c>
      <c r="E592" s="8" t="str">
        <f>IFERROR(__xludf.DUMMYFUNCTION("""COMPUTED_VALUE"""),"Seedling")</f>
        <v>Seedling</v>
      </c>
      <c r="F592" s="8" t="str">
        <f>IFERROR(__xludf.DUMMYFUNCTION("""COMPUTED_VALUE"""),"Avocado")</f>
        <v>Avocado</v>
      </c>
      <c r="G592" s="8" t="str">
        <f>IFERROR(__xludf.DUMMYFUNCTION("""COMPUTED_VALUE"""),"Avocat")</f>
        <v>Avocat</v>
      </c>
      <c r="H592" s="8" t="str">
        <f>IFERROR(__xludf.DUMMYFUNCTION("""COMPUTED_VALUE"""),"Avocado")</f>
        <v>Avocado</v>
      </c>
      <c r="I592" s="8"/>
      <c r="J592" s="8"/>
      <c r="K592" s="8"/>
      <c r="L592" s="8">
        <f>IFERROR(__xludf.DUMMYFUNCTION("""COMPUTED_VALUE"""),1.0)</f>
        <v>1</v>
      </c>
      <c r="M592" s="8">
        <f>IFERROR(__xludf.DUMMYFUNCTION("""COMPUTED_VALUE"""),0.0)</f>
        <v>0</v>
      </c>
      <c r="N592" s="8">
        <f>IFERROR(__xludf.DUMMYFUNCTION("""COMPUTED_VALUE"""),0.0)</f>
        <v>0</v>
      </c>
      <c r="O592" s="8"/>
      <c r="P592" s="8"/>
      <c r="Q592" s="8"/>
      <c r="R592" s="8"/>
      <c r="S592" s="8"/>
      <c r="T592" s="8"/>
      <c r="U592" s="8"/>
      <c r="V592" s="8"/>
      <c r="W592" s="8"/>
      <c r="X592" s="8"/>
      <c r="Y592" s="8"/>
      <c r="Z592" s="8"/>
    </row>
    <row r="593">
      <c r="A593" s="8">
        <f>IFERROR(__xludf.DUMMYFUNCTION("""COMPUTED_VALUE"""),1003.0)</f>
        <v>1003</v>
      </c>
      <c r="B593" s="8" t="str">
        <f>IFERROR(__xludf.DUMMYFUNCTION("""COMPUTED_VALUE"""),"tree")</f>
        <v>tree</v>
      </c>
      <c r="C593" s="8" t="str">
        <f>IFERROR(__xludf.DUMMYFUNCTION("""COMPUTED_VALUE"""),"graft")</f>
        <v>graft</v>
      </c>
      <c r="D593" s="55" t="str">
        <f>IFERROR(__xludf.DUMMYFUNCTION("""COMPUTED_VALUE"""),"Persea americana")</f>
        <v>Persea americana</v>
      </c>
      <c r="E593" s="8" t="str">
        <f>IFERROR(__xludf.DUMMYFUNCTION("""COMPUTED_VALUE"""),"Seedling")</f>
        <v>Seedling</v>
      </c>
      <c r="F593" s="8" t="str">
        <f>IFERROR(__xludf.DUMMYFUNCTION("""COMPUTED_VALUE"""),"Avocado")</f>
        <v>Avocado</v>
      </c>
      <c r="G593" s="8" t="str">
        <f>IFERROR(__xludf.DUMMYFUNCTION("""COMPUTED_VALUE"""),"Avocat")</f>
        <v>Avocat</v>
      </c>
      <c r="H593" s="8" t="str">
        <f>IFERROR(__xludf.DUMMYFUNCTION("""COMPUTED_VALUE"""),"seed")</f>
        <v>seed</v>
      </c>
      <c r="I593" s="8" t="str">
        <f>IFERROR(__xludf.DUMMYFUNCTION("""COMPUTED_VALUE"""),"131A")</f>
        <v>131A</v>
      </c>
      <c r="J593" s="8"/>
      <c r="K593" s="8"/>
      <c r="L593" s="8">
        <f>IFERROR(__xludf.DUMMYFUNCTION("""COMPUTED_VALUE"""),1.0)</f>
        <v>1</v>
      </c>
      <c r="M593" s="8">
        <f>IFERROR(__xludf.DUMMYFUNCTION("""COMPUTED_VALUE"""),8.0)</f>
        <v>8</v>
      </c>
      <c r="N593" s="8">
        <f>IFERROR(__xludf.DUMMYFUNCTION("""COMPUTED_VALUE"""),8.0)</f>
        <v>8</v>
      </c>
      <c r="O593" s="8"/>
      <c r="P593" s="8"/>
      <c r="Q593" s="8"/>
      <c r="R593" s="8"/>
      <c r="S593" s="8"/>
      <c r="T593" s="8"/>
      <c r="U593" s="8"/>
      <c r="V593" s="8"/>
      <c r="W593" s="8"/>
      <c r="X593" s="8"/>
      <c r="Y593" s="8"/>
      <c r="Z593" s="8"/>
    </row>
    <row r="594">
      <c r="A594" s="8">
        <f>IFERROR(__xludf.DUMMYFUNCTION("""COMPUTED_VALUE"""),1004.0)</f>
        <v>1004</v>
      </c>
      <c r="B594" s="8" t="str">
        <f>IFERROR(__xludf.DUMMYFUNCTION("""COMPUTED_VALUE"""),"tree")</f>
        <v>tree</v>
      </c>
      <c r="C594" s="8" t="str">
        <f>IFERROR(__xludf.DUMMYFUNCTION("""COMPUTED_VALUE"""),"graft")</f>
        <v>graft</v>
      </c>
      <c r="D594" s="55" t="str">
        <f>IFERROR(__xludf.DUMMYFUNCTION("""COMPUTED_VALUE"""),"Persea americana")</f>
        <v>Persea americana</v>
      </c>
      <c r="E594" s="8" t="str">
        <f>IFERROR(__xludf.DUMMYFUNCTION("""COMPUTED_VALUE"""),"Seedling")</f>
        <v>Seedling</v>
      </c>
      <c r="F594" s="8" t="str">
        <f>IFERROR(__xludf.DUMMYFUNCTION("""COMPUTED_VALUE"""),"Avocado")</f>
        <v>Avocado</v>
      </c>
      <c r="G594" s="8" t="str">
        <f>IFERROR(__xludf.DUMMYFUNCTION("""COMPUTED_VALUE"""),"Avocat")</f>
        <v>Avocat</v>
      </c>
      <c r="H594" s="8" t="str">
        <f>IFERROR(__xludf.DUMMYFUNCTION("""COMPUTED_VALUE"""),"seed")</f>
        <v>seed</v>
      </c>
      <c r="I594" s="8" t="str">
        <f>IFERROR(__xludf.DUMMYFUNCTION("""COMPUTED_VALUE"""),"133")</f>
        <v>133</v>
      </c>
      <c r="J594" s="8"/>
      <c r="K594" s="8"/>
      <c r="L594" s="8">
        <f>IFERROR(__xludf.DUMMYFUNCTION("""COMPUTED_VALUE"""),1.0)</f>
        <v>1</v>
      </c>
      <c r="M594" s="8">
        <f>IFERROR(__xludf.DUMMYFUNCTION("""COMPUTED_VALUE"""),8.0)</f>
        <v>8</v>
      </c>
      <c r="N594" s="8">
        <f>IFERROR(__xludf.DUMMYFUNCTION("""COMPUTED_VALUE"""),8.0)</f>
        <v>8</v>
      </c>
      <c r="O594" s="8"/>
      <c r="P594" s="8"/>
      <c r="Q594" s="8"/>
      <c r="R594" s="8"/>
      <c r="S594" s="8"/>
      <c r="T594" s="8"/>
      <c r="U594" s="8"/>
      <c r="V594" s="8"/>
      <c r="W594" s="8"/>
      <c r="X594" s="8"/>
      <c r="Y594" s="8"/>
      <c r="Z594" s="8"/>
    </row>
    <row r="595">
      <c r="A595" s="8">
        <f>IFERROR(__xludf.DUMMYFUNCTION("""COMPUTED_VALUE"""),1005.0)</f>
        <v>1005</v>
      </c>
      <c r="B595" s="8" t="str">
        <f>IFERROR(__xludf.DUMMYFUNCTION("""COMPUTED_VALUE"""),"tree")</f>
        <v>tree</v>
      </c>
      <c r="C595" s="8" t="str">
        <f>IFERROR(__xludf.DUMMYFUNCTION("""COMPUTED_VALUE"""),"graft")</f>
        <v>graft</v>
      </c>
      <c r="D595" s="55" t="str">
        <f>IFERROR(__xludf.DUMMYFUNCTION("""COMPUTED_VALUE"""),"Persea americana")</f>
        <v>Persea americana</v>
      </c>
      <c r="E595" s="8" t="str">
        <f>IFERROR(__xludf.DUMMYFUNCTION("""COMPUTED_VALUE"""),"Seedling")</f>
        <v>Seedling</v>
      </c>
      <c r="F595" s="8" t="str">
        <f>IFERROR(__xludf.DUMMYFUNCTION("""COMPUTED_VALUE"""),"Avocado")</f>
        <v>Avocado</v>
      </c>
      <c r="G595" s="8" t="str">
        <f>IFERROR(__xludf.DUMMYFUNCTION("""COMPUTED_VALUE"""),"Avocat")</f>
        <v>Avocat</v>
      </c>
      <c r="H595" s="8" t="str">
        <f>IFERROR(__xludf.DUMMYFUNCTION("""COMPUTED_VALUE"""),"seed")</f>
        <v>seed</v>
      </c>
      <c r="I595" s="8"/>
      <c r="J595" s="8"/>
      <c r="K595" s="8"/>
      <c r="L595" s="8">
        <f>IFERROR(__xludf.DUMMYFUNCTION("""COMPUTED_VALUE"""),1.0)</f>
        <v>1</v>
      </c>
      <c r="M595" s="8">
        <f>IFERROR(__xludf.DUMMYFUNCTION("""COMPUTED_VALUE"""),8.0)</f>
        <v>8</v>
      </c>
      <c r="N595" s="8">
        <f>IFERROR(__xludf.DUMMYFUNCTION("""COMPUTED_VALUE"""),8.0)</f>
        <v>8</v>
      </c>
      <c r="O595" s="8"/>
      <c r="P595" s="8"/>
      <c r="Q595" s="8"/>
      <c r="R595" s="8"/>
      <c r="S595" s="8"/>
      <c r="T595" s="8"/>
      <c r="U595" s="8"/>
      <c r="V595" s="8"/>
      <c r="W595" s="8"/>
      <c r="X595" s="8"/>
      <c r="Y595" s="8"/>
      <c r="Z595" s="8"/>
    </row>
    <row r="596">
      <c r="A596" s="8">
        <f>IFERROR(__xludf.DUMMYFUNCTION("""COMPUTED_VALUE"""),1006.0)</f>
        <v>1006</v>
      </c>
      <c r="B596" s="8" t="str">
        <f>IFERROR(__xludf.DUMMYFUNCTION("""COMPUTED_VALUE"""),"tree")</f>
        <v>tree</v>
      </c>
      <c r="C596" s="8" t="str">
        <f>IFERROR(__xludf.DUMMYFUNCTION("""COMPUTED_VALUE"""),"graft")</f>
        <v>graft</v>
      </c>
      <c r="D596" s="55" t="str">
        <f>IFERROR(__xludf.DUMMYFUNCTION("""COMPUTED_VALUE"""),"Persea americana")</f>
        <v>Persea americana</v>
      </c>
      <c r="E596" s="8" t="str">
        <f>IFERROR(__xludf.DUMMYFUNCTION("""COMPUTED_VALUE"""),"Seedling")</f>
        <v>Seedling</v>
      </c>
      <c r="F596" s="8" t="str">
        <f>IFERROR(__xludf.DUMMYFUNCTION("""COMPUTED_VALUE"""),"Avocado")</f>
        <v>Avocado</v>
      </c>
      <c r="G596" s="8" t="str">
        <f>IFERROR(__xludf.DUMMYFUNCTION("""COMPUTED_VALUE"""),"Avocat")</f>
        <v>Avocat</v>
      </c>
      <c r="H596" s="8" t="str">
        <f>IFERROR(__xludf.DUMMYFUNCTION("""COMPUTED_VALUE"""),"seed")</f>
        <v>seed</v>
      </c>
      <c r="I596" s="8" t="str">
        <f>IFERROR(__xludf.DUMMYFUNCTION("""COMPUTED_VALUE"""),"152")</f>
        <v>152</v>
      </c>
      <c r="J596" s="8"/>
      <c r="K596" s="8"/>
      <c r="L596" s="8">
        <f>IFERROR(__xludf.DUMMYFUNCTION("""COMPUTED_VALUE"""),1.0)</f>
        <v>1</v>
      </c>
      <c r="M596" s="8">
        <f>IFERROR(__xludf.DUMMYFUNCTION("""COMPUTED_VALUE"""),8.0)</f>
        <v>8</v>
      </c>
      <c r="N596" s="8">
        <f>IFERROR(__xludf.DUMMYFUNCTION("""COMPUTED_VALUE"""),8.0)</f>
        <v>8</v>
      </c>
      <c r="O596" s="8"/>
      <c r="P596" s="8"/>
      <c r="Q596" s="8"/>
      <c r="R596" s="8"/>
      <c r="S596" s="8"/>
      <c r="T596" s="8"/>
      <c r="U596" s="8"/>
      <c r="V596" s="8"/>
      <c r="W596" s="8"/>
      <c r="X596" s="8"/>
      <c r="Y596" s="8"/>
      <c r="Z596" s="8"/>
    </row>
    <row r="597">
      <c r="A597" s="8">
        <f>IFERROR(__xludf.DUMMYFUNCTION("""COMPUTED_VALUE"""),1007.0)</f>
        <v>1007</v>
      </c>
      <c r="B597" s="8" t="str">
        <f>IFERROR(__xludf.DUMMYFUNCTION("""COMPUTED_VALUE"""),"tree")</f>
        <v>tree</v>
      </c>
      <c r="C597" s="8" t="str">
        <f>IFERROR(__xludf.DUMMYFUNCTION("""COMPUTED_VALUE"""),"cutting")</f>
        <v>cutting</v>
      </c>
      <c r="D597" s="55" t="str">
        <f>IFERROR(__xludf.DUMMYFUNCTION("""COMPUTED_VALUE"""),"Moringa oleifera")</f>
        <v>Moringa oleifera</v>
      </c>
      <c r="E597" s="8" t="str">
        <f>IFERROR(__xludf.DUMMYFUNCTION("""COMPUTED_VALUE"""),"MOMAX3")</f>
        <v>MOMAX3</v>
      </c>
      <c r="F597" s="8" t="str">
        <f>IFERROR(__xludf.DUMMYFUNCTION("""COMPUTED_VALUE"""),"Moringa")</f>
        <v>Moringa</v>
      </c>
      <c r="G597" s="8" t="str">
        <f>IFERROR(__xludf.DUMMYFUNCTION("""COMPUTED_VALUE"""),"Moringa")</f>
        <v>Moringa</v>
      </c>
      <c r="H597" s="8" t="str">
        <f>IFERROR(__xludf.DUMMYFUNCTION("""COMPUTED_VALUE"""),"seed")</f>
        <v>seed</v>
      </c>
      <c r="I597" s="8" t="str">
        <f>IFERROR(__xludf.DUMMYFUNCTION("""COMPUTED_VALUE"""),"172")</f>
        <v>172</v>
      </c>
      <c r="J597" s="8"/>
      <c r="K597" s="8"/>
      <c r="L597" s="8" t="str">
        <f>IFERROR(__xludf.DUMMYFUNCTION("""COMPUTED_VALUE"""),"multiple")</f>
        <v>multiple</v>
      </c>
      <c r="M597" s="8">
        <f>IFERROR(__xludf.DUMMYFUNCTION("""COMPUTED_VALUE"""),1.0)</f>
        <v>1</v>
      </c>
      <c r="N597" s="8">
        <f>IFERROR(__xludf.DUMMYFUNCTION("""COMPUTED_VALUE"""),1.0)</f>
        <v>1</v>
      </c>
      <c r="O597" s="8"/>
      <c r="P597" s="8"/>
      <c r="Q597" s="8"/>
      <c r="R597" s="8"/>
      <c r="S597" s="8"/>
      <c r="T597" s="8"/>
      <c r="U597" s="8"/>
      <c r="V597" s="8"/>
      <c r="W597" s="8"/>
      <c r="X597" s="8"/>
      <c r="Y597" s="8"/>
      <c r="Z597" s="8"/>
    </row>
    <row r="598">
      <c r="A598" s="8">
        <f>IFERROR(__xludf.DUMMYFUNCTION("""COMPUTED_VALUE"""),1008.0)</f>
        <v>1008</v>
      </c>
      <c r="B598" s="8" t="str">
        <f>IFERROR(__xludf.DUMMYFUNCTION("""COMPUTED_VALUE"""),"tree")</f>
        <v>tree</v>
      </c>
      <c r="C598" s="8" t="str">
        <f>IFERROR(__xludf.DUMMYFUNCTION("""COMPUTED_VALUE"""),"graft")</f>
        <v>graft</v>
      </c>
      <c r="D598" s="55" t="str">
        <f>IFERROR(__xludf.DUMMYFUNCTION("""COMPUTED_VALUE"""),"Persea americana")</f>
        <v>Persea americana</v>
      </c>
      <c r="E598" s="8" t="str">
        <f>IFERROR(__xludf.DUMMYFUNCTION("""COMPUTED_VALUE"""),"Seedling")</f>
        <v>Seedling</v>
      </c>
      <c r="F598" s="8" t="str">
        <f>IFERROR(__xludf.DUMMYFUNCTION("""COMPUTED_VALUE"""),"Avocado")</f>
        <v>Avocado</v>
      </c>
      <c r="G598" s="8" t="str">
        <f>IFERROR(__xludf.DUMMYFUNCTION("""COMPUTED_VALUE"""),"Avocat")</f>
        <v>Avocat</v>
      </c>
      <c r="H598" s="8" t="str">
        <f>IFERROR(__xludf.DUMMYFUNCTION("""COMPUTED_VALUE"""),"seed")</f>
        <v>seed</v>
      </c>
      <c r="I598" s="8"/>
      <c r="J598" s="8"/>
      <c r="K598" s="8"/>
      <c r="L598" s="8">
        <f>IFERROR(__xludf.DUMMYFUNCTION("""COMPUTED_VALUE"""),1.0)</f>
        <v>1</v>
      </c>
      <c r="M598" s="8">
        <f>IFERROR(__xludf.DUMMYFUNCTION("""COMPUTED_VALUE"""),8.0)</f>
        <v>8</v>
      </c>
      <c r="N598" s="8">
        <f>IFERROR(__xludf.DUMMYFUNCTION("""COMPUTED_VALUE"""),8.0)</f>
        <v>8</v>
      </c>
      <c r="O598" s="8"/>
      <c r="P598" s="8"/>
      <c r="Q598" s="8"/>
      <c r="R598" s="8"/>
      <c r="S598" s="8"/>
      <c r="T598" s="8"/>
      <c r="U598" s="8"/>
      <c r="V598" s="8"/>
      <c r="W598" s="8"/>
      <c r="X598" s="8"/>
      <c r="Y598" s="8"/>
      <c r="Z598" s="8"/>
    </row>
    <row r="599">
      <c r="A599" s="8">
        <f>IFERROR(__xludf.DUMMYFUNCTION("""COMPUTED_VALUE"""),1009.0)</f>
        <v>1009</v>
      </c>
      <c r="B599" s="8" t="str">
        <f>IFERROR(__xludf.DUMMYFUNCTION("""COMPUTED_VALUE"""),"tree")</f>
        <v>tree</v>
      </c>
      <c r="C599" s="8" t="str">
        <f>IFERROR(__xludf.DUMMYFUNCTION("""COMPUTED_VALUE"""),"graft")</f>
        <v>graft</v>
      </c>
      <c r="D599" s="55" t="str">
        <f>IFERROR(__xludf.DUMMYFUNCTION("""COMPUTED_VALUE"""),"Persea americana")</f>
        <v>Persea americana</v>
      </c>
      <c r="E599" s="8" t="str">
        <f>IFERROR(__xludf.DUMMYFUNCTION("""COMPUTED_VALUE"""),"Seedling")</f>
        <v>Seedling</v>
      </c>
      <c r="F599" s="8" t="str">
        <f>IFERROR(__xludf.DUMMYFUNCTION("""COMPUTED_VALUE"""),"Avocado")</f>
        <v>Avocado</v>
      </c>
      <c r="G599" s="8" t="str">
        <f>IFERROR(__xludf.DUMMYFUNCTION("""COMPUTED_VALUE"""),"Avocat")</f>
        <v>Avocat</v>
      </c>
      <c r="H599" s="8" t="str">
        <f>IFERROR(__xludf.DUMMYFUNCTION("""COMPUTED_VALUE"""),"seed")</f>
        <v>seed</v>
      </c>
      <c r="I599" s="8"/>
      <c r="J599" s="8"/>
      <c r="K599" s="8"/>
      <c r="L599" s="8">
        <f>IFERROR(__xludf.DUMMYFUNCTION("""COMPUTED_VALUE"""),1.0)</f>
        <v>1</v>
      </c>
      <c r="M599" s="8">
        <f>IFERROR(__xludf.DUMMYFUNCTION("""COMPUTED_VALUE"""),8.0)</f>
        <v>8</v>
      </c>
      <c r="N599" s="8">
        <f>IFERROR(__xludf.DUMMYFUNCTION("""COMPUTED_VALUE"""),8.0)</f>
        <v>8</v>
      </c>
      <c r="O599" s="8"/>
      <c r="P599" s="8"/>
      <c r="Q599" s="8"/>
      <c r="R599" s="8"/>
      <c r="S599" s="8"/>
      <c r="T599" s="8"/>
      <c r="U599" s="8"/>
      <c r="V599" s="8"/>
      <c r="W599" s="8"/>
      <c r="X599" s="8"/>
      <c r="Y599" s="8"/>
      <c r="Z599" s="8"/>
    </row>
    <row r="600">
      <c r="A600" s="8">
        <f>IFERROR(__xludf.DUMMYFUNCTION("""COMPUTED_VALUE"""),1010.0)</f>
        <v>1010</v>
      </c>
      <c r="B600" s="8" t="str">
        <f>IFERROR(__xludf.DUMMYFUNCTION("""COMPUTED_VALUE"""),"tree")</f>
        <v>tree</v>
      </c>
      <c r="C600" s="8" t="str">
        <f>IFERROR(__xludf.DUMMYFUNCTION("""COMPUTED_VALUE"""),"graft")</f>
        <v>graft</v>
      </c>
      <c r="D600" s="55" t="str">
        <f>IFERROR(__xludf.DUMMYFUNCTION("""COMPUTED_VALUE"""),"Persea americana")</f>
        <v>Persea americana</v>
      </c>
      <c r="E600" s="8" t="str">
        <f>IFERROR(__xludf.DUMMYFUNCTION("""COMPUTED_VALUE"""),"Seedling")</f>
        <v>Seedling</v>
      </c>
      <c r="F600" s="8" t="str">
        <f>IFERROR(__xludf.DUMMYFUNCTION("""COMPUTED_VALUE"""),"Avocado")</f>
        <v>Avocado</v>
      </c>
      <c r="G600" s="8" t="str">
        <f>IFERROR(__xludf.DUMMYFUNCTION("""COMPUTED_VALUE"""),"Avocat")</f>
        <v>Avocat</v>
      </c>
      <c r="H600" s="8" t="str">
        <f>IFERROR(__xludf.DUMMYFUNCTION("""COMPUTED_VALUE"""),"seed")</f>
        <v>seed</v>
      </c>
      <c r="I600" s="8"/>
      <c r="J600" s="8"/>
      <c r="K600" s="8"/>
      <c r="L600" s="8">
        <f>IFERROR(__xludf.DUMMYFUNCTION("""COMPUTED_VALUE"""),1.0)</f>
        <v>1</v>
      </c>
      <c r="M600" s="8">
        <f>IFERROR(__xludf.DUMMYFUNCTION("""COMPUTED_VALUE"""),8.0)</f>
        <v>8</v>
      </c>
      <c r="N600" s="8">
        <f>IFERROR(__xludf.DUMMYFUNCTION("""COMPUTED_VALUE"""),8.0)</f>
        <v>8</v>
      </c>
      <c r="O600" s="8"/>
      <c r="P600" s="8"/>
      <c r="Q600" s="8"/>
      <c r="R600" s="8"/>
      <c r="S600" s="8"/>
      <c r="T600" s="8"/>
      <c r="U600" s="8"/>
      <c r="V600" s="8"/>
      <c r="W600" s="8"/>
      <c r="X600" s="8"/>
      <c r="Y600" s="8"/>
      <c r="Z600" s="8"/>
    </row>
    <row r="601">
      <c r="A601" s="8">
        <f>IFERROR(__xludf.DUMMYFUNCTION("""COMPUTED_VALUE"""),1011.0)</f>
        <v>1011</v>
      </c>
      <c r="B601" s="8" t="str">
        <f>IFERROR(__xludf.DUMMYFUNCTION("""COMPUTED_VALUE"""),"tree")</f>
        <v>tree</v>
      </c>
      <c r="C601" s="8" t="str">
        <f>IFERROR(__xludf.DUMMYFUNCTION("""COMPUTED_VALUE"""),"graft")</f>
        <v>graft</v>
      </c>
      <c r="D601" s="55" t="str">
        <f>IFERROR(__xludf.DUMMYFUNCTION("""COMPUTED_VALUE"""),"Persea americana")</f>
        <v>Persea americana</v>
      </c>
      <c r="E601" s="8" t="str">
        <f>IFERROR(__xludf.DUMMYFUNCTION("""COMPUTED_VALUE"""),"Seedling")</f>
        <v>Seedling</v>
      </c>
      <c r="F601" s="8" t="str">
        <f>IFERROR(__xludf.DUMMYFUNCTION("""COMPUTED_VALUE"""),"Avocado")</f>
        <v>Avocado</v>
      </c>
      <c r="G601" s="8" t="str">
        <f>IFERROR(__xludf.DUMMYFUNCTION("""COMPUTED_VALUE"""),"Avocat")</f>
        <v>Avocat</v>
      </c>
      <c r="H601" s="8" t="str">
        <f>IFERROR(__xludf.DUMMYFUNCTION("""COMPUTED_VALUE"""),"seed")</f>
        <v>seed</v>
      </c>
      <c r="I601" s="8"/>
      <c r="J601" s="8"/>
      <c r="K601" s="8"/>
      <c r="L601" s="8">
        <f>IFERROR(__xludf.DUMMYFUNCTION("""COMPUTED_VALUE"""),1.0)</f>
        <v>1</v>
      </c>
      <c r="M601" s="8">
        <f>IFERROR(__xludf.DUMMYFUNCTION("""COMPUTED_VALUE"""),8.0)</f>
        <v>8</v>
      </c>
      <c r="N601" s="8">
        <f>IFERROR(__xludf.DUMMYFUNCTION("""COMPUTED_VALUE"""),8.0)</f>
        <v>8</v>
      </c>
      <c r="O601" s="8"/>
      <c r="P601" s="8"/>
      <c r="Q601" s="8"/>
      <c r="R601" s="8"/>
      <c r="S601" s="8"/>
      <c r="T601" s="8"/>
      <c r="U601" s="8"/>
      <c r="V601" s="8"/>
      <c r="W601" s="8"/>
      <c r="X601" s="8"/>
      <c r="Y601" s="8"/>
      <c r="Z601" s="8"/>
    </row>
    <row r="602">
      <c r="A602" s="8">
        <f>IFERROR(__xludf.DUMMYFUNCTION("""COMPUTED_VALUE"""),1012.0)</f>
        <v>1012</v>
      </c>
      <c r="B602" s="8" t="str">
        <f>IFERROR(__xludf.DUMMYFUNCTION("""COMPUTED_VALUE"""),"tree")</f>
        <v>tree</v>
      </c>
      <c r="C602" s="8" t="str">
        <f>IFERROR(__xludf.DUMMYFUNCTION("""COMPUTED_VALUE"""),"graft")</f>
        <v>graft</v>
      </c>
      <c r="D602" s="55" t="str">
        <f>IFERROR(__xludf.DUMMYFUNCTION("""COMPUTED_VALUE"""),"Persea americana")</f>
        <v>Persea americana</v>
      </c>
      <c r="E602" s="8" t="str">
        <f>IFERROR(__xludf.DUMMYFUNCTION("""COMPUTED_VALUE"""),"Seedling")</f>
        <v>Seedling</v>
      </c>
      <c r="F602" s="8" t="str">
        <f>IFERROR(__xludf.DUMMYFUNCTION("""COMPUTED_VALUE"""),"Avocado")</f>
        <v>Avocado</v>
      </c>
      <c r="G602" s="8" t="str">
        <f>IFERROR(__xludf.DUMMYFUNCTION("""COMPUTED_VALUE"""),"Avocat")</f>
        <v>Avocat</v>
      </c>
      <c r="H602" s="8" t="str">
        <f>IFERROR(__xludf.DUMMYFUNCTION("""COMPUTED_VALUE"""),"seed")</f>
        <v>seed</v>
      </c>
      <c r="I602" s="8"/>
      <c r="J602" s="8"/>
      <c r="K602" s="8"/>
      <c r="L602" s="8">
        <f>IFERROR(__xludf.DUMMYFUNCTION("""COMPUTED_VALUE"""),1.0)</f>
        <v>1</v>
      </c>
      <c r="M602" s="8">
        <f>IFERROR(__xludf.DUMMYFUNCTION("""COMPUTED_VALUE"""),8.0)</f>
        <v>8</v>
      </c>
      <c r="N602" s="8">
        <f>IFERROR(__xludf.DUMMYFUNCTION("""COMPUTED_VALUE"""),8.0)</f>
        <v>8</v>
      </c>
      <c r="O602" s="8"/>
      <c r="P602" s="8"/>
      <c r="Q602" s="8"/>
      <c r="R602" s="8"/>
      <c r="S602" s="8"/>
      <c r="T602" s="8"/>
      <c r="U602" s="8"/>
      <c r="V602" s="8"/>
      <c r="W602" s="8"/>
      <c r="X602" s="8"/>
      <c r="Y602" s="8"/>
      <c r="Z602" s="8"/>
    </row>
    <row r="603">
      <c r="A603" s="8">
        <f>IFERROR(__xludf.DUMMYFUNCTION("""COMPUTED_VALUE"""),1013.0)</f>
        <v>1013</v>
      </c>
      <c r="B603" s="8" t="str">
        <f>IFERROR(__xludf.DUMMYFUNCTION("""COMPUTED_VALUE"""),"tree")</f>
        <v>tree</v>
      </c>
      <c r="C603" s="8" t="str">
        <f>IFERROR(__xludf.DUMMYFUNCTION("""COMPUTED_VALUE"""),"seed")</f>
        <v>seed</v>
      </c>
      <c r="D603" s="55" t="str">
        <f>IFERROR(__xludf.DUMMYFUNCTION("""COMPUTED_VALUE"""),"Inga edulis")</f>
        <v>Inga edulis</v>
      </c>
      <c r="E603" s="8" t="str">
        <f>IFERROR(__xludf.DUMMYFUNCTION("""COMPUTED_VALUE"""),"Seedling")</f>
        <v>Seedling</v>
      </c>
      <c r="F603" s="8" t="str">
        <f>IFERROR(__xludf.DUMMYFUNCTION("""COMPUTED_VALUE"""),"Inga")</f>
        <v>Inga</v>
      </c>
      <c r="G603" s="8" t="str">
        <f>IFERROR(__xludf.DUMMYFUNCTION("""COMPUTED_VALUE"""),"Haricots glacés")</f>
        <v>Haricots glacés</v>
      </c>
      <c r="H603" s="8" t="str">
        <f>IFERROR(__xludf.DUMMYFUNCTION("""COMPUTED_VALUE"""),"seed")</f>
        <v>seed</v>
      </c>
      <c r="I603" s="8"/>
      <c r="J603" s="8"/>
      <c r="K603" s="8"/>
      <c r="L603" s="8" t="str">
        <f>IFERROR(__xludf.DUMMYFUNCTION("""COMPUTED_VALUE"""),"multiple")</f>
        <v>multiple</v>
      </c>
      <c r="M603" s="8">
        <f>IFERROR(__xludf.DUMMYFUNCTION("""COMPUTED_VALUE"""),3.0)</f>
        <v>3</v>
      </c>
      <c r="N603" s="8">
        <f>IFERROR(__xludf.DUMMYFUNCTION("""COMPUTED_VALUE"""),3.0)</f>
        <v>3</v>
      </c>
      <c r="O603" s="8"/>
      <c r="P603" s="8"/>
      <c r="Q603" s="8"/>
      <c r="R603" s="8"/>
      <c r="S603" s="8"/>
      <c r="T603" s="8"/>
      <c r="U603" s="8"/>
      <c r="V603" s="8"/>
      <c r="W603" s="8"/>
      <c r="X603" s="8"/>
      <c r="Y603" s="8"/>
      <c r="Z603" s="8"/>
    </row>
    <row r="604">
      <c r="A604" s="8">
        <f>IFERROR(__xludf.DUMMYFUNCTION("""COMPUTED_VALUE"""),1014.0)</f>
        <v>1014</v>
      </c>
      <c r="B604" s="8" t="str">
        <f>IFERROR(__xludf.DUMMYFUNCTION("""COMPUTED_VALUE"""),"tree")</f>
        <v>tree</v>
      </c>
      <c r="C604" s="8" t="str">
        <f>IFERROR(__xludf.DUMMYFUNCTION("""COMPUTED_VALUE"""),"seed")</f>
        <v>seed</v>
      </c>
      <c r="D604" s="55" t="str">
        <f>IFERROR(__xludf.DUMMYFUNCTION("""COMPUTED_VALUE"""),"Inga edulis")</f>
        <v>Inga edulis</v>
      </c>
      <c r="E604" s="8" t="str">
        <f>IFERROR(__xludf.DUMMYFUNCTION("""COMPUTED_VALUE"""),"Seedling")</f>
        <v>Seedling</v>
      </c>
      <c r="F604" s="8" t="str">
        <f>IFERROR(__xludf.DUMMYFUNCTION("""COMPUTED_VALUE"""),"Inga")</f>
        <v>Inga</v>
      </c>
      <c r="G604" s="8" t="str">
        <f>IFERROR(__xludf.DUMMYFUNCTION("""COMPUTED_VALUE"""),"Haricots glacés")</f>
        <v>Haricots glacés</v>
      </c>
      <c r="H604" s="8" t="str">
        <f>IFERROR(__xludf.DUMMYFUNCTION("""COMPUTED_VALUE"""),"seed")</f>
        <v>seed</v>
      </c>
      <c r="I604" s="8"/>
      <c r="J604" s="8"/>
      <c r="K604" s="8"/>
      <c r="L604" s="8" t="str">
        <f>IFERROR(__xludf.DUMMYFUNCTION("""COMPUTED_VALUE"""),"multiple")</f>
        <v>multiple</v>
      </c>
      <c r="M604" s="8">
        <f>IFERROR(__xludf.DUMMYFUNCTION("""COMPUTED_VALUE"""),3.0)</f>
        <v>3</v>
      </c>
      <c r="N604" s="8">
        <f>IFERROR(__xludf.DUMMYFUNCTION("""COMPUTED_VALUE"""),3.0)</f>
        <v>3</v>
      </c>
      <c r="O604" s="8"/>
      <c r="P604" s="8"/>
      <c r="Q604" s="8"/>
      <c r="R604" s="8"/>
      <c r="S604" s="8"/>
      <c r="T604" s="8"/>
      <c r="U604" s="8"/>
      <c r="V604" s="8"/>
      <c r="W604" s="8"/>
      <c r="X604" s="8"/>
      <c r="Y604" s="8"/>
      <c r="Z604" s="8"/>
    </row>
    <row r="605">
      <c r="A605" s="8">
        <f>IFERROR(__xludf.DUMMYFUNCTION("""COMPUTED_VALUE"""),1015.0)</f>
        <v>1015</v>
      </c>
      <c r="B605" s="8" t="str">
        <f>IFERROR(__xludf.DUMMYFUNCTION("""COMPUTED_VALUE"""),"tree")</f>
        <v>tree</v>
      </c>
      <c r="C605" s="8" t="str">
        <f>IFERROR(__xludf.DUMMYFUNCTION("""COMPUTED_VALUE"""),"seed")</f>
        <v>seed</v>
      </c>
      <c r="D605" s="55" t="str">
        <f>IFERROR(__xludf.DUMMYFUNCTION("""COMPUTED_VALUE"""),"Inga edulis")</f>
        <v>Inga edulis</v>
      </c>
      <c r="E605" s="8" t="str">
        <f>IFERROR(__xludf.DUMMYFUNCTION("""COMPUTED_VALUE"""),"Seedling")</f>
        <v>Seedling</v>
      </c>
      <c r="F605" s="8" t="str">
        <f>IFERROR(__xludf.DUMMYFUNCTION("""COMPUTED_VALUE"""),"Inga")</f>
        <v>Inga</v>
      </c>
      <c r="G605" s="8" t="str">
        <f>IFERROR(__xludf.DUMMYFUNCTION("""COMPUTED_VALUE"""),"Haricots glacés")</f>
        <v>Haricots glacés</v>
      </c>
      <c r="H605" s="8" t="str">
        <f>IFERROR(__xludf.DUMMYFUNCTION("""COMPUTED_VALUE"""),"seed")</f>
        <v>seed</v>
      </c>
      <c r="I605" s="8"/>
      <c r="J605" s="8"/>
      <c r="K605" s="8"/>
      <c r="L605" s="8" t="str">
        <f>IFERROR(__xludf.DUMMYFUNCTION("""COMPUTED_VALUE"""),"multiple")</f>
        <v>multiple</v>
      </c>
      <c r="M605" s="8">
        <f>IFERROR(__xludf.DUMMYFUNCTION("""COMPUTED_VALUE"""),3.0)</f>
        <v>3</v>
      </c>
      <c r="N605" s="8">
        <f>IFERROR(__xludf.DUMMYFUNCTION("""COMPUTED_VALUE"""),3.0)</f>
        <v>3</v>
      </c>
      <c r="O605" s="8"/>
      <c r="P605" s="8"/>
      <c r="Q605" s="8"/>
      <c r="R605" s="8"/>
      <c r="S605" s="8"/>
      <c r="T605" s="8"/>
      <c r="U605" s="8"/>
      <c r="V605" s="8"/>
      <c r="W605" s="8"/>
      <c r="X605" s="8"/>
      <c r="Y605" s="8"/>
      <c r="Z605" s="8"/>
    </row>
    <row r="606">
      <c r="A606" s="8">
        <f>IFERROR(__xludf.DUMMYFUNCTION("""COMPUTED_VALUE"""),1016.0)</f>
        <v>1016</v>
      </c>
      <c r="B606" s="8" t="str">
        <f>IFERROR(__xludf.DUMMYFUNCTION("""COMPUTED_VALUE"""),"tree")</f>
        <v>tree</v>
      </c>
      <c r="C606" s="8" t="str">
        <f>IFERROR(__xludf.DUMMYFUNCTION("""COMPUTED_VALUE"""),"seed")</f>
        <v>seed</v>
      </c>
      <c r="D606" s="55" t="str">
        <f>IFERROR(__xludf.DUMMYFUNCTION("""COMPUTED_VALUE"""),"Acacia angustissima")</f>
        <v>Acacia angustissima</v>
      </c>
      <c r="E606" s="8" t="str">
        <f>IFERROR(__xludf.DUMMYFUNCTION("""COMPUTED_VALUE"""),"Seedling")</f>
        <v>Seedling</v>
      </c>
      <c r="F606" s="8" t="str">
        <f>IFERROR(__xludf.DUMMYFUNCTION("""COMPUTED_VALUE"""),"Prairie Acacia")</f>
        <v>Prairie Acacia</v>
      </c>
      <c r="G606" s="8" t="str">
        <f>IFERROR(__xludf.DUMMYFUNCTION("""COMPUTED_VALUE"""),"Acacia des prairies")</f>
        <v>Acacia des prairies</v>
      </c>
      <c r="H606" s="8" t="str">
        <f>IFERROR(__xludf.DUMMYFUNCTION("""COMPUTED_VALUE"""),"seed")</f>
        <v>seed</v>
      </c>
      <c r="I606" s="8"/>
      <c r="J606" s="8"/>
      <c r="K606" s="8"/>
      <c r="L606" s="8" t="str">
        <f>IFERROR(__xludf.DUMMYFUNCTION("""COMPUTED_VALUE"""),"multiple")</f>
        <v>multiple</v>
      </c>
      <c r="M606" s="8">
        <f>IFERROR(__xludf.DUMMYFUNCTION("""COMPUTED_VALUE"""),1.0)</f>
        <v>1</v>
      </c>
      <c r="N606" s="8">
        <f>IFERROR(__xludf.DUMMYFUNCTION("""COMPUTED_VALUE"""),3.0)</f>
        <v>3</v>
      </c>
      <c r="O606" s="8"/>
      <c r="P606" s="8"/>
      <c r="Q606" s="8"/>
      <c r="R606" s="8"/>
      <c r="S606" s="8"/>
      <c r="T606" s="8"/>
      <c r="U606" s="8"/>
      <c r="V606" s="8"/>
      <c r="W606" s="8"/>
      <c r="X606" s="8"/>
      <c r="Y606" s="8"/>
      <c r="Z606" s="8"/>
    </row>
    <row r="607">
      <c r="A607" s="8">
        <f>IFERROR(__xludf.DUMMYFUNCTION("""COMPUTED_VALUE"""),1017.0)</f>
        <v>1017</v>
      </c>
      <c r="B607" s="8" t="str">
        <f>IFERROR(__xludf.DUMMYFUNCTION("""COMPUTED_VALUE"""),"tree")</f>
        <v>tree</v>
      </c>
      <c r="C607" s="8" t="str">
        <f>IFERROR(__xludf.DUMMYFUNCTION("""COMPUTED_VALUE"""),"seed")</f>
        <v>seed</v>
      </c>
      <c r="D607" s="55" t="str">
        <f>IFERROR(__xludf.DUMMYFUNCTION("""COMPUTED_VALUE"""),"Acacia angustissima")</f>
        <v>Acacia angustissima</v>
      </c>
      <c r="E607" s="8" t="str">
        <f>IFERROR(__xludf.DUMMYFUNCTION("""COMPUTED_VALUE"""),"Seedling")</f>
        <v>Seedling</v>
      </c>
      <c r="F607" s="8" t="str">
        <f>IFERROR(__xludf.DUMMYFUNCTION("""COMPUTED_VALUE"""),"Prairie Acacia")</f>
        <v>Prairie Acacia</v>
      </c>
      <c r="G607" s="8" t="str">
        <f>IFERROR(__xludf.DUMMYFUNCTION("""COMPUTED_VALUE"""),"Acacia des prairies")</f>
        <v>Acacia des prairies</v>
      </c>
      <c r="H607" s="8" t="str">
        <f>IFERROR(__xludf.DUMMYFUNCTION("""COMPUTED_VALUE"""),"seed")</f>
        <v>seed</v>
      </c>
      <c r="I607" s="8"/>
      <c r="J607" s="8"/>
      <c r="K607" s="8"/>
      <c r="L607" s="8" t="str">
        <f>IFERROR(__xludf.DUMMYFUNCTION("""COMPUTED_VALUE"""),"multiple")</f>
        <v>multiple</v>
      </c>
      <c r="M607" s="8">
        <f>IFERROR(__xludf.DUMMYFUNCTION("""COMPUTED_VALUE"""),1.0)</f>
        <v>1</v>
      </c>
      <c r="N607" s="8">
        <f>IFERROR(__xludf.DUMMYFUNCTION("""COMPUTED_VALUE"""),3.0)</f>
        <v>3</v>
      </c>
      <c r="O607" s="8"/>
      <c r="P607" s="8"/>
      <c r="Q607" s="8"/>
      <c r="R607" s="8"/>
      <c r="S607" s="8"/>
      <c r="T607" s="8"/>
      <c r="U607" s="8"/>
      <c r="V607" s="8"/>
      <c r="W607" s="8"/>
      <c r="X607" s="8"/>
      <c r="Y607" s="8"/>
      <c r="Z607" s="8"/>
    </row>
    <row r="608">
      <c r="A608" s="8">
        <f>IFERROR(__xludf.DUMMYFUNCTION("""COMPUTED_VALUE"""),1018.0)</f>
        <v>1018</v>
      </c>
      <c r="B608" s="8" t="str">
        <f>IFERROR(__xludf.DUMMYFUNCTION("""COMPUTED_VALUE"""),"tree")</f>
        <v>tree</v>
      </c>
      <c r="C608" s="8" t="str">
        <f>IFERROR(__xludf.DUMMYFUNCTION("""COMPUTED_VALUE"""),"seed")</f>
        <v>seed</v>
      </c>
      <c r="D608" s="55" t="str">
        <f>IFERROR(__xludf.DUMMYFUNCTION("""COMPUTED_VALUE"""),"Acacia angustissima")</f>
        <v>Acacia angustissima</v>
      </c>
      <c r="E608" s="8" t="str">
        <f>IFERROR(__xludf.DUMMYFUNCTION("""COMPUTED_VALUE"""),"Seedling")</f>
        <v>Seedling</v>
      </c>
      <c r="F608" s="8" t="str">
        <f>IFERROR(__xludf.DUMMYFUNCTION("""COMPUTED_VALUE"""),"Prairie Acacia")</f>
        <v>Prairie Acacia</v>
      </c>
      <c r="G608" s="8" t="str">
        <f>IFERROR(__xludf.DUMMYFUNCTION("""COMPUTED_VALUE"""),"Acacia des prairies")</f>
        <v>Acacia des prairies</v>
      </c>
      <c r="H608" s="8" t="str">
        <f>IFERROR(__xludf.DUMMYFUNCTION("""COMPUTED_VALUE"""),"seed")</f>
        <v>seed</v>
      </c>
      <c r="I608" s="8"/>
      <c r="J608" s="8"/>
      <c r="K608" s="8"/>
      <c r="L608" s="8" t="str">
        <f>IFERROR(__xludf.DUMMYFUNCTION("""COMPUTED_VALUE"""),"multiple")</f>
        <v>multiple</v>
      </c>
      <c r="M608" s="8">
        <f>IFERROR(__xludf.DUMMYFUNCTION("""COMPUTED_VALUE"""),1.0)</f>
        <v>1</v>
      </c>
      <c r="N608" s="8">
        <f>IFERROR(__xludf.DUMMYFUNCTION("""COMPUTED_VALUE"""),3.0)</f>
        <v>3</v>
      </c>
      <c r="O608" s="8"/>
      <c r="P608" s="8"/>
      <c r="Q608" s="8"/>
      <c r="R608" s="8"/>
      <c r="S608" s="8"/>
      <c r="T608" s="8"/>
      <c r="U608" s="8"/>
      <c r="V608" s="8"/>
      <c r="W608" s="8"/>
      <c r="X608" s="8"/>
      <c r="Y608" s="8"/>
      <c r="Z608" s="8"/>
    </row>
    <row r="609">
      <c r="A609" s="8">
        <f>IFERROR(__xludf.DUMMYFUNCTION("""COMPUTED_VALUE"""),1019.0)</f>
        <v>1019</v>
      </c>
      <c r="B609" s="8" t="str">
        <f>IFERROR(__xludf.DUMMYFUNCTION("""COMPUTED_VALUE"""),"tree")</f>
        <v>tree</v>
      </c>
      <c r="C609" s="8" t="str">
        <f>IFERROR(__xludf.DUMMYFUNCTION("""COMPUTED_VALUE"""),"cutting")</f>
        <v>cutting</v>
      </c>
      <c r="D609" s="55" t="str">
        <f>IFERROR(__xludf.DUMMYFUNCTION("""COMPUTED_VALUE"""),"Moringa oleifera")</f>
        <v>Moringa oleifera</v>
      </c>
      <c r="E609" s="8" t="str">
        <f>IFERROR(__xludf.DUMMYFUNCTION("""COMPUTED_VALUE"""),"MOMAX3")</f>
        <v>MOMAX3</v>
      </c>
      <c r="F609" s="8" t="str">
        <f>IFERROR(__xludf.DUMMYFUNCTION("""COMPUTED_VALUE"""),"Moringa")</f>
        <v>Moringa</v>
      </c>
      <c r="G609" s="8" t="str">
        <f>IFERROR(__xludf.DUMMYFUNCTION("""COMPUTED_VALUE"""),"Moringa")</f>
        <v>Moringa</v>
      </c>
      <c r="H609" s="8" t="str">
        <f>IFERROR(__xludf.DUMMYFUNCTION("""COMPUTED_VALUE"""),"Moringa")</f>
        <v>Moringa</v>
      </c>
      <c r="I609" s="8" t="str">
        <f>IFERROR(__xludf.DUMMYFUNCTION("""COMPUTED_VALUE"""),"143")</f>
        <v>143</v>
      </c>
      <c r="J609" s="8"/>
      <c r="K609" s="8">
        <f>IFERROR(__xludf.DUMMYFUNCTION("""COMPUTED_VALUE"""),1002.0)</f>
        <v>1002</v>
      </c>
      <c r="L609" s="8" t="str">
        <f>IFERROR(__xludf.DUMMYFUNCTION("""COMPUTED_VALUE"""),"multiple")</f>
        <v>multiple</v>
      </c>
      <c r="M609" s="8">
        <f>IFERROR(__xludf.DUMMYFUNCTION("""COMPUTED_VALUE"""),1.0)</f>
        <v>1</v>
      </c>
      <c r="N609" s="8">
        <f>IFERROR(__xludf.DUMMYFUNCTION("""COMPUTED_VALUE"""),1.0)</f>
        <v>1</v>
      </c>
      <c r="O609" s="8"/>
      <c r="P609" s="8"/>
      <c r="Q609" s="8"/>
      <c r="R609" s="8"/>
      <c r="S609" s="8"/>
      <c r="T609" s="8"/>
      <c r="U609" s="8"/>
      <c r="V609" s="8"/>
      <c r="W609" s="8"/>
      <c r="X609" s="8"/>
      <c r="Y609" s="8"/>
      <c r="Z609" s="8"/>
    </row>
    <row r="610">
      <c r="A610" s="8">
        <f>IFERROR(__xludf.DUMMYFUNCTION("""COMPUTED_VALUE"""),1020.0)</f>
        <v>1020</v>
      </c>
      <c r="B610" s="8" t="str">
        <f>IFERROR(__xludf.DUMMYFUNCTION("""COMPUTED_VALUE"""),"tree")</f>
        <v>tree</v>
      </c>
      <c r="C610" s="8" t="str">
        <f>IFERROR(__xludf.DUMMYFUNCTION("""COMPUTED_VALUE"""),"graft")</f>
        <v>graft</v>
      </c>
      <c r="D610" s="55" t="str">
        <f>IFERROR(__xludf.DUMMYFUNCTION("""COMPUTED_VALUE"""),"Annona muricata")</f>
        <v>Annona muricata</v>
      </c>
      <c r="E610" s="8" t="str">
        <f>IFERROR(__xludf.DUMMYFUNCTION("""COMPUTED_VALUE"""),"Golden")</f>
        <v>Golden</v>
      </c>
      <c r="F610" s="8" t="str">
        <f>IFERROR(__xludf.DUMMYFUNCTION("""COMPUTED_VALUE"""),"Soursop")</f>
        <v>Soursop</v>
      </c>
      <c r="G610" s="8" t="str">
        <f>IFERROR(__xludf.DUMMYFUNCTION("""COMPUTED_VALUE"""),"Corossol")</f>
        <v>Corossol</v>
      </c>
      <c r="H610" s="8" t="str">
        <f>IFERROR(__xludf.DUMMYFUNCTION("""COMPUTED_VALUE"""),"seed")</f>
        <v>seed</v>
      </c>
      <c r="I610" s="8"/>
      <c r="J610" s="8"/>
      <c r="K610" s="8"/>
      <c r="L610" s="8" t="str">
        <f>IFERROR(__xludf.DUMMYFUNCTION("""COMPUTED_VALUE"""),"multiple")</f>
        <v>multiple</v>
      </c>
      <c r="M610" s="8">
        <f>IFERROR(__xludf.DUMMYFUNCTION("""COMPUTED_VALUE"""),0.0)</f>
        <v>0</v>
      </c>
      <c r="N610" s="8">
        <f>IFERROR(__xludf.DUMMYFUNCTION("""COMPUTED_VALUE"""),70.0)</f>
        <v>70</v>
      </c>
      <c r="O610" s="8"/>
      <c r="P610" s="8"/>
      <c r="Q610" s="8"/>
      <c r="R610" s="8"/>
      <c r="S610" s="8"/>
      <c r="T610" s="8"/>
      <c r="U610" s="8"/>
      <c r="V610" s="8"/>
      <c r="W610" s="8"/>
      <c r="X610" s="8"/>
      <c r="Y610" s="8"/>
      <c r="Z610" s="8"/>
    </row>
    <row r="611">
      <c r="A611" s="8">
        <f>IFERROR(__xludf.DUMMYFUNCTION("""COMPUTED_VALUE"""),1021.0)</f>
        <v>1021</v>
      </c>
      <c r="B611" s="8" t="str">
        <f>IFERROR(__xludf.DUMMYFUNCTION("""COMPUTED_VALUE"""),"tree")</f>
        <v>tree</v>
      </c>
      <c r="C611" s="8" t="str">
        <f>IFERROR(__xludf.DUMMYFUNCTION("""COMPUTED_VALUE"""),"graft")</f>
        <v>graft</v>
      </c>
      <c r="D611" s="55" t="str">
        <f>IFERROR(__xludf.DUMMYFUNCTION("""COMPUTED_VALUE"""),"Annona muricata")</f>
        <v>Annona muricata</v>
      </c>
      <c r="E611" s="8" t="str">
        <f>IFERROR(__xludf.DUMMYFUNCTION("""COMPUTED_VALUE"""),"Golden")</f>
        <v>Golden</v>
      </c>
      <c r="F611" s="8" t="str">
        <f>IFERROR(__xludf.DUMMYFUNCTION("""COMPUTED_VALUE"""),"Soursop")</f>
        <v>Soursop</v>
      </c>
      <c r="G611" s="8" t="str">
        <f>IFERROR(__xludf.DUMMYFUNCTION("""COMPUTED_VALUE"""),"Corossol")</f>
        <v>Corossol</v>
      </c>
      <c r="H611" s="8" t="str">
        <f>IFERROR(__xludf.DUMMYFUNCTION("""COMPUTED_VALUE"""),"seed")</f>
        <v>seed</v>
      </c>
      <c r="I611" s="8"/>
      <c r="J611" s="8"/>
      <c r="K611" s="8"/>
      <c r="L611" s="8" t="str">
        <f>IFERROR(__xludf.DUMMYFUNCTION("""COMPUTED_VALUE"""),"multiple")</f>
        <v>multiple</v>
      </c>
      <c r="M611" s="8">
        <f>IFERROR(__xludf.DUMMYFUNCTION("""COMPUTED_VALUE"""),0.0)</f>
        <v>0</v>
      </c>
      <c r="N611" s="8">
        <f>IFERROR(__xludf.DUMMYFUNCTION("""COMPUTED_VALUE"""),70.0)</f>
        <v>70</v>
      </c>
      <c r="O611" s="8"/>
      <c r="P611" s="8"/>
      <c r="Q611" s="8"/>
      <c r="R611" s="8"/>
      <c r="S611" s="8"/>
      <c r="T611" s="8"/>
      <c r="U611" s="8"/>
      <c r="V611" s="8"/>
      <c r="W611" s="8"/>
      <c r="X611" s="8"/>
      <c r="Y611" s="8"/>
      <c r="Z611" s="8"/>
    </row>
    <row r="612">
      <c r="A612" s="8">
        <f>IFERROR(__xludf.DUMMYFUNCTION("""COMPUTED_VALUE"""),1022.0)</f>
        <v>1022</v>
      </c>
      <c r="B612" s="8" t="str">
        <f>IFERROR(__xludf.DUMMYFUNCTION("""COMPUTED_VALUE"""),"tree")</f>
        <v>tree</v>
      </c>
      <c r="C612" s="8" t="str">
        <f>IFERROR(__xludf.DUMMYFUNCTION("""COMPUTED_VALUE"""),"graft")</f>
        <v>graft</v>
      </c>
      <c r="D612" s="55" t="str">
        <f>IFERROR(__xludf.DUMMYFUNCTION("""COMPUTED_VALUE"""),"Annona muricata")</f>
        <v>Annona muricata</v>
      </c>
      <c r="E612" s="8" t="str">
        <f>IFERROR(__xludf.DUMMYFUNCTION("""COMPUTED_VALUE"""),"Golden")</f>
        <v>Golden</v>
      </c>
      <c r="F612" s="8" t="str">
        <f>IFERROR(__xludf.DUMMYFUNCTION("""COMPUTED_VALUE"""),"Soursop")</f>
        <v>Soursop</v>
      </c>
      <c r="G612" s="8" t="str">
        <f>IFERROR(__xludf.DUMMYFUNCTION("""COMPUTED_VALUE"""),"Corossol")</f>
        <v>Corossol</v>
      </c>
      <c r="H612" s="8" t="str">
        <f>IFERROR(__xludf.DUMMYFUNCTION("""COMPUTED_VALUE"""),"seed")</f>
        <v>seed</v>
      </c>
      <c r="I612" s="8"/>
      <c r="J612" s="8"/>
      <c r="K612" s="8"/>
      <c r="L612" s="8" t="str">
        <f>IFERROR(__xludf.DUMMYFUNCTION("""COMPUTED_VALUE"""),"multiple")</f>
        <v>multiple</v>
      </c>
      <c r="M612" s="8">
        <f>IFERROR(__xludf.DUMMYFUNCTION("""COMPUTED_VALUE"""),0.0)</f>
        <v>0</v>
      </c>
      <c r="N612" s="8">
        <f>IFERROR(__xludf.DUMMYFUNCTION("""COMPUTED_VALUE"""),70.0)</f>
        <v>70</v>
      </c>
      <c r="O612" s="8"/>
      <c r="P612" s="8"/>
      <c r="Q612" s="8"/>
      <c r="R612" s="8"/>
      <c r="S612" s="8"/>
      <c r="T612" s="8"/>
      <c r="U612" s="8"/>
      <c r="V612" s="8"/>
      <c r="W612" s="8"/>
      <c r="X612" s="8"/>
      <c r="Y612" s="8"/>
      <c r="Z612" s="8"/>
    </row>
    <row r="613">
      <c r="A613" s="8">
        <f>IFERROR(__xludf.DUMMYFUNCTION("""COMPUTED_VALUE"""),1023.0)</f>
        <v>1023</v>
      </c>
      <c r="B613" s="8" t="str">
        <f>IFERROR(__xludf.DUMMYFUNCTION("""COMPUTED_VALUE"""),"tree")</f>
        <v>tree</v>
      </c>
      <c r="C613" s="8" t="str">
        <f>IFERROR(__xludf.DUMMYFUNCTION("""COMPUTED_VALUE"""),"graft")</f>
        <v>graft</v>
      </c>
      <c r="D613" s="55" t="str">
        <f>IFERROR(__xludf.DUMMYFUNCTION("""COMPUTED_VALUE"""),"Annona muricata")</f>
        <v>Annona muricata</v>
      </c>
      <c r="E613" s="8" t="str">
        <f>IFERROR(__xludf.DUMMYFUNCTION("""COMPUTED_VALUE"""),"Golden")</f>
        <v>Golden</v>
      </c>
      <c r="F613" s="8" t="str">
        <f>IFERROR(__xludf.DUMMYFUNCTION("""COMPUTED_VALUE"""),"Soursop")</f>
        <v>Soursop</v>
      </c>
      <c r="G613" s="8" t="str">
        <f>IFERROR(__xludf.DUMMYFUNCTION("""COMPUTED_VALUE"""),"Corossol")</f>
        <v>Corossol</v>
      </c>
      <c r="H613" s="8" t="str">
        <f>IFERROR(__xludf.DUMMYFUNCTION("""COMPUTED_VALUE"""),"seed")</f>
        <v>seed</v>
      </c>
      <c r="I613" s="8"/>
      <c r="J613" s="8"/>
      <c r="K613" s="8"/>
      <c r="L613" s="8" t="str">
        <f>IFERROR(__xludf.DUMMYFUNCTION("""COMPUTED_VALUE"""),"multiple")</f>
        <v>multiple</v>
      </c>
      <c r="M613" s="8">
        <f>IFERROR(__xludf.DUMMYFUNCTION("""COMPUTED_VALUE"""),0.0)</f>
        <v>0</v>
      </c>
      <c r="N613" s="8">
        <f>IFERROR(__xludf.DUMMYFUNCTION("""COMPUTED_VALUE"""),70.0)</f>
        <v>70</v>
      </c>
      <c r="O613" s="8"/>
      <c r="P613" s="8"/>
      <c r="Q613" s="8"/>
      <c r="R613" s="8"/>
      <c r="S613" s="8"/>
      <c r="T613" s="8"/>
      <c r="U613" s="8"/>
      <c r="V613" s="8"/>
      <c r="W613" s="8"/>
      <c r="X613" s="8"/>
      <c r="Y613" s="8"/>
      <c r="Z613" s="8"/>
    </row>
    <row r="614">
      <c r="A614" s="8">
        <f>IFERROR(__xludf.DUMMYFUNCTION("""COMPUTED_VALUE"""),1024.0)</f>
        <v>1024</v>
      </c>
      <c r="B614" s="8" t="str">
        <f>IFERROR(__xludf.DUMMYFUNCTION("""COMPUTED_VALUE"""),"tree")</f>
        <v>tree</v>
      </c>
      <c r="C614" s="8" t="str">
        <f>IFERROR(__xludf.DUMMYFUNCTION("""COMPUTED_VALUE"""),"graft")</f>
        <v>graft</v>
      </c>
      <c r="D614" s="55" t="str">
        <f>IFERROR(__xludf.DUMMYFUNCTION("""COMPUTED_VALUE"""),"Annona muricata")</f>
        <v>Annona muricata</v>
      </c>
      <c r="E614" s="8" t="str">
        <f>IFERROR(__xludf.DUMMYFUNCTION("""COMPUTED_VALUE"""),"Golden")</f>
        <v>Golden</v>
      </c>
      <c r="F614" s="8" t="str">
        <f>IFERROR(__xludf.DUMMYFUNCTION("""COMPUTED_VALUE"""),"Soursop")</f>
        <v>Soursop</v>
      </c>
      <c r="G614" s="8" t="str">
        <f>IFERROR(__xludf.DUMMYFUNCTION("""COMPUTED_VALUE"""),"Corossol")</f>
        <v>Corossol</v>
      </c>
      <c r="H614" s="8" t="str">
        <f>IFERROR(__xludf.DUMMYFUNCTION("""COMPUTED_VALUE"""),"seed")</f>
        <v>seed</v>
      </c>
      <c r="I614" s="8"/>
      <c r="J614" s="8"/>
      <c r="K614" s="8"/>
      <c r="L614" s="8" t="str">
        <f>IFERROR(__xludf.DUMMYFUNCTION("""COMPUTED_VALUE"""),"multiple")</f>
        <v>multiple</v>
      </c>
      <c r="M614" s="8">
        <f>IFERROR(__xludf.DUMMYFUNCTION("""COMPUTED_VALUE"""),0.0)</f>
        <v>0</v>
      </c>
      <c r="N614" s="8">
        <f>IFERROR(__xludf.DUMMYFUNCTION("""COMPUTED_VALUE"""),70.0)</f>
        <v>70</v>
      </c>
      <c r="O614" s="8"/>
      <c r="P614" s="8"/>
      <c r="Q614" s="8"/>
      <c r="R614" s="8"/>
      <c r="S614" s="8"/>
      <c r="T614" s="8"/>
      <c r="U614" s="8"/>
      <c r="V614" s="8"/>
      <c r="W614" s="8"/>
      <c r="X614" s="8"/>
      <c r="Y614" s="8"/>
      <c r="Z614" s="8"/>
    </row>
    <row r="615">
      <c r="A615" s="8">
        <f>IFERROR(__xludf.DUMMYFUNCTION("""COMPUTED_VALUE"""),1025.0)</f>
        <v>1025</v>
      </c>
      <c r="B615" s="8" t="str">
        <f>IFERROR(__xludf.DUMMYFUNCTION("""COMPUTED_VALUE"""),"tree")</f>
        <v>tree</v>
      </c>
      <c r="C615" s="8" t="str">
        <f>IFERROR(__xludf.DUMMYFUNCTION("""COMPUTED_VALUE"""),"graft")</f>
        <v>graft</v>
      </c>
      <c r="D615" s="55" t="str">
        <f>IFERROR(__xludf.DUMMYFUNCTION("""COMPUTED_VALUE"""),"Annona muricata")</f>
        <v>Annona muricata</v>
      </c>
      <c r="E615" s="8" t="str">
        <f>IFERROR(__xludf.DUMMYFUNCTION("""COMPUTED_VALUE"""),"Golden")</f>
        <v>Golden</v>
      </c>
      <c r="F615" s="8" t="str">
        <f>IFERROR(__xludf.DUMMYFUNCTION("""COMPUTED_VALUE"""),"Soursop")</f>
        <v>Soursop</v>
      </c>
      <c r="G615" s="8" t="str">
        <f>IFERROR(__xludf.DUMMYFUNCTION("""COMPUTED_VALUE"""),"Corossol")</f>
        <v>Corossol</v>
      </c>
      <c r="H615" s="8" t="str">
        <f>IFERROR(__xludf.DUMMYFUNCTION("""COMPUTED_VALUE"""),"seed")</f>
        <v>seed</v>
      </c>
      <c r="I615" s="8"/>
      <c r="J615" s="8"/>
      <c r="K615" s="8"/>
      <c r="L615" s="8" t="str">
        <f>IFERROR(__xludf.DUMMYFUNCTION("""COMPUTED_VALUE"""),"multiple")</f>
        <v>multiple</v>
      </c>
      <c r="M615" s="8">
        <f>IFERROR(__xludf.DUMMYFUNCTION("""COMPUTED_VALUE"""),0.0)</f>
        <v>0</v>
      </c>
      <c r="N615" s="8">
        <f>IFERROR(__xludf.DUMMYFUNCTION("""COMPUTED_VALUE"""),70.0)</f>
        <v>70</v>
      </c>
      <c r="O615" s="8"/>
      <c r="P615" s="8"/>
      <c r="Q615" s="8"/>
      <c r="R615" s="8"/>
      <c r="S615" s="8"/>
      <c r="T615" s="8"/>
      <c r="U615" s="8"/>
      <c r="V615" s="8"/>
      <c r="W615" s="8"/>
      <c r="X615" s="8"/>
      <c r="Y615" s="8"/>
      <c r="Z615" s="8"/>
    </row>
    <row r="616">
      <c r="A616" s="8">
        <f>IFERROR(__xludf.DUMMYFUNCTION("""COMPUTED_VALUE"""),1026.0)</f>
        <v>1026</v>
      </c>
      <c r="B616" s="8" t="str">
        <f>IFERROR(__xludf.DUMMYFUNCTION("""COMPUTED_VALUE"""),"tree")</f>
        <v>tree</v>
      </c>
      <c r="C616" s="8" t="str">
        <f>IFERROR(__xludf.DUMMYFUNCTION("""COMPUTED_VALUE"""),"graft")</f>
        <v>graft</v>
      </c>
      <c r="D616" s="55" t="str">
        <f>IFERROR(__xludf.DUMMYFUNCTION("""COMPUTED_VALUE"""),"Annona muricata")</f>
        <v>Annona muricata</v>
      </c>
      <c r="E616" s="8" t="str">
        <f>IFERROR(__xludf.DUMMYFUNCTION("""COMPUTED_VALUE"""),"Golden")</f>
        <v>Golden</v>
      </c>
      <c r="F616" s="8" t="str">
        <f>IFERROR(__xludf.DUMMYFUNCTION("""COMPUTED_VALUE"""),"Soursop")</f>
        <v>Soursop</v>
      </c>
      <c r="G616" s="8" t="str">
        <f>IFERROR(__xludf.DUMMYFUNCTION("""COMPUTED_VALUE"""),"Corossol")</f>
        <v>Corossol</v>
      </c>
      <c r="H616" s="8" t="str">
        <f>IFERROR(__xludf.DUMMYFUNCTION("""COMPUTED_VALUE"""),"seed")</f>
        <v>seed</v>
      </c>
      <c r="I616" s="8"/>
      <c r="J616" s="8"/>
      <c r="K616" s="8"/>
      <c r="L616" s="8" t="str">
        <f>IFERROR(__xludf.DUMMYFUNCTION("""COMPUTED_VALUE"""),"multiple")</f>
        <v>multiple</v>
      </c>
      <c r="M616" s="8">
        <f>IFERROR(__xludf.DUMMYFUNCTION("""COMPUTED_VALUE"""),0.0)</f>
        <v>0</v>
      </c>
      <c r="N616" s="8">
        <f>IFERROR(__xludf.DUMMYFUNCTION("""COMPUTED_VALUE"""),70.0)</f>
        <v>70</v>
      </c>
      <c r="O616" s="8"/>
      <c r="P616" s="8"/>
      <c r="Q616" s="8"/>
      <c r="R616" s="8"/>
      <c r="S616" s="8"/>
      <c r="T616" s="8"/>
      <c r="U616" s="8"/>
      <c r="V616" s="8"/>
      <c r="W616" s="8"/>
      <c r="X616" s="8"/>
      <c r="Y616" s="8"/>
      <c r="Z616" s="8"/>
    </row>
    <row r="617">
      <c r="A617" s="8">
        <f>IFERROR(__xludf.DUMMYFUNCTION("""COMPUTED_VALUE"""),1027.0)</f>
        <v>1027</v>
      </c>
      <c r="B617" s="8" t="str">
        <f>IFERROR(__xludf.DUMMYFUNCTION("""COMPUTED_VALUE"""),"tree")</f>
        <v>tree</v>
      </c>
      <c r="C617" s="8" t="str">
        <f>IFERROR(__xludf.DUMMYFUNCTION("""COMPUTED_VALUE"""),"graft")</f>
        <v>graft</v>
      </c>
      <c r="D617" s="55" t="str">
        <f>IFERROR(__xludf.DUMMYFUNCTION("""COMPUTED_VALUE"""),"Annona muricata")</f>
        <v>Annona muricata</v>
      </c>
      <c r="E617" s="8" t="str">
        <f>IFERROR(__xludf.DUMMYFUNCTION("""COMPUTED_VALUE"""),"Golden")</f>
        <v>Golden</v>
      </c>
      <c r="F617" s="8" t="str">
        <f>IFERROR(__xludf.DUMMYFUNCTION("""COMPUTED_VALUE"""),"Soursop")</f>
        <v>Soursop</v>
      </c>
      <c r="G617" s="8" t="str">
        <f>IFERROR(__xludf.DUMMYFUNCTION("""COMPUTED_VALUE"""),"Corossol")</f>
        <v>Corossol</v>
      </c>
      <c r="H617" s="8" t="str">
        <f>IFERROR(__xludf.DUMMYFUNCTION("""COMPUTED_VALUE"""),"seed")</f>
        <v>seed</v>
      </c>
      <c r="I617" s="8"/>
      <c r="J617" s="8"/>
      <c r="K617" s="8"/>
      <c r="L617" s="8" t="str">
        <f>IFERROR(__xludf.DUMMYFUNCTION("""COMPUTED_VALUE"""),"multiple")</f>
        <v>multiple</v>
      </c>
      <c r="M617" s="8">
        <f>IFERROR(__xludf.DUMMYFUNCTION("""COMPUTED_VALUE"""),0.0)</f>
        <v>0</v>
      </c>
      <c r="N617" s="8">
        <f>IFERROR(__xludf.DUMMYFUNCTION("""COMPUTED_VALUE"""),70.0)</f>
        <v>70</v>
      </c>
      <c r="O617" s="8"/>
      <c r="P617" s="8"/>
      <c r="Q617" s="8"/>
      <c r="R617" s="8"/>
      <c r="S617" s="8"/>
      <c r="T617" s="8"/>
      <c r="U617" s="8"/>
      <c r="V617" s="8"/>
      <c r="W617" s="8"/>
      <c r="X617" s="8"/>
      <c r="Y617" s="8"/>
      <c r="Z617" s="8"/>
    </row>
    <row r="618">
      <c r="A618" s="8">
        <f>IFERROR(__xludf.DUMMYFUNCTION("""COMPUTED_VALUE"""),1028.0)</f>
        <v>1028</v>
      </c>
      <c r="B618" s="8" t="str">
        <f>IFERROR(__xludf.DUMMYFUNCTION("""COMPUTED_VALUE"""),"tree")</f>
        <v>tree</v>
      </c>
      <c r="C618" s="8" t="str">
        <f>IFERROR(__xludf.DUMMYFUNCTION("""COMPUTED_VALUE"""),"graft")</f>
        <v>graft</v>
      </c>
      <c r="D618" s="55" t="str">
        <f>IFERROR(__xludf.DUMMYFUNCTION("""COMPUTED_VALUE"""),"Annona muricata")</f>
        <v>Annona muricata</v>
      </c>
      <c r="E618" s="8" t="str">
        <f>IFERROR(__xludf.DUMMYFUNCTION("""COMPUTED_VALUE"""),"Golden")</f>
        <v>Golden</v>
      </c>
      <c r="F618" s="8" t="str">
        <f>IFERROR(__xludf.DUMMYFUNCTION("""COMPUTED_VALUE"""),"Soursop")</f>
        <v>Soursop</v>
      </c>
      <c r="G618" s="8" t="str">
        <f>IFERROR(__xludf.DUMMYFUNCTION("""COMPUTED_VALUE"""),"Corossol")</f>
        <v>Corossol</v>
      </c>
      <c r="H618" s="8" t="str">
        <f>IFERROR(__xludf.DUMMYFUNCTION("""COMPUTED_VALUE"""),"seed")</f>
        <v>seed</v>
      </c>
      <c r="I618" s="8"/>
      <c r="J618" s="8"/>
      <c r="K618" s="8"/>
      <c r="L618" s="8" t="str">
        <f>IFERROR(__xludf.DUMMYFUNCTION("""COMPUTED_VALUE"""),"multiple")</f>
        <v>multiple</v>
      </c>
      <c r="M618" s="8">
        <f>IFERROR(__xludf.DUMMYFUNCTION("""COMPUTED_VALUE"""),0.0)</f>
        <v>0</v>
      </c>
      <c r="N618" s="8">
        <f>IFERROR(__xludf.DUMMYFUNCTION("""COMPUTED_VALUE"""),70.0)</f>
        <v>70</v>
      </c>
      <c r="O618" s="8"/>
      <c r="P618" s="8"/>
      <c r="Q618" s="8"/>
      <c r="R618" s="8"/>
      <c r="S618" s="8"/>
      <c r="T618" s="8"/>
      <c r="U618" s="8"/>
      <c r="V618" s="8"/>
      <c r="W618" s="8"/>
      <c r="X618" s="8"/>
      <c r="Y618" s="8"/>
      <c r="Z618" s="8"/>
    </row>
    <row r="619">
      <c r="A619" s="8">
        <f>IFERROR(__xludf.DUMMYFUNCTION("""COMPUTED_VALUE"""),1029.0)</f>
        <v>1029</v>
      </c>
      <c r="B619" s="8" t="str">
        <f>IFERROR(__xludf.DUMMYFUNCTION("""COMPUTED_VALUE"""),"tree")</f>
        <v>tree</v>
      </c>
      <c r="C619" s="8" t="str">
        <f>IFERROR(__xludf.DUMMYFUNCTION("""COMPUTED_VALUE"""),"graft")</f>
        <v>graft</v>
      </c>
      <c r="D619" s="55" t="str">
        <f>IFERROR(__xludf.DUMMYFUNCTION("""COMPUTED_VALUE"""),"Annona muricata")</f>
        <v>Annona muricata</v>
      </c>
      <c r="E619" s="8" t="str">
        <f>IFERROR(__xludf.DUMMYFUNCTION("""COMPUTED_VALUE"""),"Golden")</f>
        <v>Golden</v>
      </c>
      <c r="F619" s="8" t="str">
        <f>IFERROR(__xludf.DUMMYFUNCTION("""COMPUTED_VALUE"""),"Soursop")</f>
        <v>Soursop</v>
      </c>
      <c r="G619" s="8" t="str">
        <f>IFERROR(__xludf.DUMMYFUNCTION("""COMPUTED_VALUE"""),"Corossol")</f>
        <v>Corossol</v>
      </c>
      <c r="H619" s="8" t="str">
        <f>IFERROR(__xludf.DUMMYFUNCTION("""COMPUTED_VALUE"""),"seed")</f>
        <v>seed</v>
      </c>
      <c r="I619" s="8"/>
      <c r="J619" s="8"/>
      <c r="K619" s="8"/>
      <c r="L619" s="8" t="str">
        <f>IFERROR(__xludf.DUMMYFUNCTION("""COMPUTED_VALUE"""),"multiple")</f>
        <v>multiple</v>
      </c>
      <c r="M619" s="8">
        <f>IFERROR(__xludf.DUMMYFUNCTION("""COMPUTED_VALUE"""),0.0)</f>
        <v>0</v>
      </c>
      <c r="N619" s="8">
        <f>IFERROR(__xludf.DUMMYFUNCTION("""COMPUTED_VALUE"""),70.0)</f>
        <v>70</v>
      </c>
      <c r="O619" s="8"/>
      <c r="P619" s="8"/>
      <c r="Q619" s="8"/>
      <c r="R619" s="8"/>
      <c r="S619" s="8"/>
      <c r="T619" s="8"/>
      <c r="U619" s="8"/>
      <c r="V619" s="8"/>
      <c r="W619" s="8"/>
      <c r="X619" s="8"/>
      <c r="Y619" s="8"/>
      <c r="Z619" s="8"/>
    </row>
    <row r="620">
      <c r="A620" s="8">
        <f>IFERROR(__xludf.DUMMYFUNCTION("""COMPUTED_VALUE"""),1030.0)</f>
        <v>1030</v>
      </c>
      <c r="B620" s="8" t="str">
        <f>IFERROR(__xludf.DUMMYFUNCTION("""COMPUTED_VALUE"""),"tree")</f>
        <v>tree</v>
      </c>
      <c r="C620" s="8" t="str">
        <f>IFERROR(__xludf.DUMMYFUNCTION("""COMPUTED_VALUE"""),"graft")</f>
        <v>graft</v>
      </c>
      <c r="D620" s="55" t="str">
        <f>IFERROR(__xludf.DUMMYFUNCTION("""COMPUTED_VALUE"""),"Annona muricata")</f>
        <v>Annona muricata</v>
      </c>
      <c r="E620" s="8" t="str">
        <f>IFERROR(__xludf.DUMMYFUNCTION("""COMPUTED_VALUE"""),"Golden")</f>
        <v>Golden</v>
      </c>
      <c r="F620" s="8" t="str">
        <f>IFERROR(__xludf.DUMMYFUNCTION("""COMPUTED_VALUE"""),"Soursop")</f>
        <v>Soursop</v>
      </c>
      <c r="G620" s="8" t="str">
        <f>IFERROR(__xludf.DUMMYFUNCTION("""COMPUTED_VALUE"""),"Corossol")</f>
        <v>Corossol</v>
      </c>
      <c r="H620" s="8" t="str">
        <f>IFERROR(__xludf.DUMMYFUNCTION("""COMPUTED_VALUE"""),"seed")</f>
        <v>seed</v>
      </c>
      <c r="I620" s="8"/>
      <c r="J620" s="8"/>
      <c r="K620" s="8"/>
      <c r="L620" s="8" t="str">
        <f>IFERROR(__xludf.DUMMYFUNCTION("""COMPUTED_VALUE"""),"multiple")</f>
        <v>multiple</v>
      </c>
      <c r="M620" s="8">
        <f>IFERROR(__xludf.DUMMYFUNCTION("""COMPUTED_VALUE"""),0.0)</f>
        <v>0</v>
      </c>
      <c r="N620" s="8">
        <f>IFERROR(__xludf.DUMMYFUNCTION("""COMPUTED_VALUE"""),70.0)</f>
        <v>70</v>
      </c>
      <c r="O620" s="8"/>
      <c r="P620" s="8"/>
      <c r="Q620" s="8"/>
      <c r="R620" s="8"/>
      <c r="S620" s="8"/>
      <c r="T620" s="8"/>
      <c r="U620" s="8"/>
      <c r="V620" s="8"/>
      <c r="W620" s="8"/>
      <c r="X620" s="8"/>
      <c r="Y620" s="8"/>
      <c r="Z620" s="8"/>
    </row>
    <row r="621">
      <c r="A621" s="8">
        <f>IFERROR(__xludf.DUMMYFUNCTION("""COMPUTED_VALUE"""),1031.0)</f>
        <v>1031</v>
      </c>
      <c r="B621" s="8" t="str">
        <f>IFERROR(__xludf.DUMMYFUNCTION("""COMPUTED_VALUE"""),"tree")</f>
        <v>tree</v>
      </c>
      <c r="C621" s="8" t="str">
        <f>IFERROR(__xludf.DUMMYFUNCTION("""COMPUTED_VALUE"""),"graft")</f>
        <v>graft</v>
      </c>
      <c r="D621" s="55" t="str">
        <f>IFERROR(__xludf.DUMMYFUNCTION("""COMPUTED_VALUE"""),"Annona muricata")</f>
        <v>Annona muricata</v>
      </c>
      <c r="E621" s="8" t="str">
        <f>IFERROR(__xludf.DUMMYFUNCTION("""COMPUTED_VALUE"""),"Golden")</f>
        <v>Golden</v>
      </c>
      <c r="F621" s="8" t="str">
        <f>IFERROR(__xludf.DUMMYFUNCTION("""COMPUTED_VALUE"""),"Soursop")</f>
        <v>Soursop</v>
      </c>
      <c r="G621" s="8" t="str">
        <f>IFERROR(__xludf.DUMMYFUNCTION("""COMPUTED_VALUE"""),"Corossol")</f>
        <v>Corossol</v>
      </c>
      <c r="H621" s="8" t="str">
        <f>IFERROR(__xludf.DUMMYFUNCTION("""COMPUTED_VALUE"""),"seed")</f>
        <v>seed</v>
      </c>
      <c r="I621" s="8"/>
      <c r="J621" s="8"/>
      <c r="K621" s="8"/>
      <c r="L621" s="8" t="str">
        <f>IFERROR(__xludf.DUMMYFUNCTION("""COMPUTED_VALUE"""),"multiple")</f>
        <v>multiple</v>
      </c>
      <c r="M621" s="8">
        <f>IFERROR(__xludf.DUMMYFUNCTION("""COMPUTED_VALUE"""),0.0)</f>
        <v>0</v>
      </c>
      <c r="N621" s="8">
        <f>IFERROR(__xludf.DUMMYFUNCTION("""COMPUTED_VALUE"""),70.0)</f>
        <v>70</v>
      </c>
      <c r="O621" s="8"/>
      <c r="P621" s="8"/>
      <c r="Q621" s="8"/>
      <c r="R621" s="8"/>
      <c r="S621" s="8"/>
      <c r="T621" s="8"/>
      <c r="U621" s="8"/>
      <c r="V621" s="8"/>
      <c r="W621" s="8"/>
      <c r="X621" s="8"/>
      <c r="Y621" s="8"/>
      <c r="Z621" s="8"/>
    </row>
    <row r="622">
      <c r="A622" s="8">
        <f>IFERROR(__xludf.DUMMYFUNCTION("""COMPUTED_VALUE"""),1032.0)</f>
        <v>1032</v>
      </c>
      <c r="B622" s="8" t="str">
        <f>IFERROR(__xludf.DUMMYFUNCTION("""COMPUTED_VALUE"""),"tree")</f>
        <v>tree</v>
      </c>
      <c r="C622" s="8" t="str">
        <f>IFERROR(__xludf.DUMMYFUNCTION("""COMPUTED_VALUE"""),"graft")</f>
        <v>graft</v>
      </c>
      <c r="D622" s="55" t="str">
        <f>IFERROR(__xludf.DUMMYFUNCTION("""COMPUTED_VALUE"""),"Annona muricata")</f>
        <v>Annona muricata</v>
      </c>
      <c r="E622" s="8" t="str">
        <f>IFERROR(__xludf.DUMMYFUNCTION("""COMPUTED_VALUE"""),"Golden")</f>
        <v>Golden</v>
      </c>
      <c r="F622" s="8" t="str">
        <f>IFERROR(__xludf.DUMMYFUNCTION("""COMPUTED_VALUE"""),"Soursop")</f>
        <v>Soursop</v>
      </c>
      <c r="G622" s="8" t="str">
        <f>IFERROR(__xludf.DUMMYFUNCTION("""COMPUTED_VALUE"""),"Corossol")</f>
        <v>Corossol</v>
      </c>
      <c r="H622" s="8" t="str">
        <f>IFERROR(__xludf.DUMMYFUNCTION("""COMPUTED_VALUE"""),"seed")</f>
        <v>seed</v>
      </c>
      <c r="I622" s="8"/>
      <c r="J622" s="8"/>
      <c r="K622" s="8"/>
      <c r="L622" s="8" t="str">
        <f>IFERROR(__xludf.DUMMYFUNCTION("""COMPUTED_VALUE"""),"multiple")</f>
        <v>multiple</v>
      </c>
      <c r="M622" s="8">
        <f>IFERROR(__xludf.DUMMYFUNCTION("""COMPUTED_VALUE"""),0.0)</f>
        <v>0</v>
      </c>
      <c r="N622" s="8">
        <f>IFERROR(__xludf.DUMMYFUNCTION("""COMPUTED_VALUE"""),70.0)</f>
        <v>70</v>
      </c>
      <c r="O622" s="8"/>
      <c r="P622" s="8"/>
      <c r="Q622" s="8"/>
      <c r="R622" s="8"/>
      <c r="S622" s="8"/>
      <c r="T622" s="8"/>
      <c r="U622" s="8"/>
      <c r="V622" s="8"/>
      <c r="W622" s="8"/>
      <c r="X622" s="8"/>
      <c r="Y622" s="8"/>
      <c r="Z622" s="8"/>
    </row>
    <row r="623">
      <c r="A623" s="8">
        <f>IFERROR(__xludf.DUMMYFUNCTION("""COMPUTED_VALUE"""),1033.0)</f>
        <v>1033</v>
      </c>
      <c r="B623" s="8" t="str">
        <f>IFERROR(__xludf.DUMMYFUNCTION("""COMPUTED_VALUE"""),"tree")</f>
        <v>tree</v>
      </c>
      <c r="C623" s="8" t="str">
        <f>IFERROR(__xludf.DUMMYFUNCTION("""COMPUTED_VALUE"""),"graft")</f>
        <v>graft</v>
      </c>
      <c r="D623" s="55" t="str">
        <f>IFERROR(__xludf.DUMMYFUNCTION("""COMPUTED_VALUE"""),"Annona muricata")</f>
        <v>Annona muricata</v>
      </c>
      <c r="E623" s="8" t="str">
        <f>IFERROR(__xludf.DUMMYFUNCTION("""COMPUTED_VALUE"""),"Golden")</f>
        <v>Golden</v>
      </c>
      <c r="F623" s="8" t="str">
        <f>IFERROR(__xludf.DUMMYFUNCTION("""COMPUTED_VALUE"""),"Soursop")</f>
        <v>Soursop</v>
      </c>
      <c r="G623" s="8" t="str">
        <f>IFERROR(__xludf.DUMMYFUNCTION("""COMPUTED_VALUE"""),"Corossol")</f>
        <v>Corossol</v>
      </c>
      <c r="H623" s="8" t="str">
        <f>IFERROR(__xludf.DUMMYFUNCTION("""COMPUTED_VALUE"""),"seed")</f>
        <v>seed</v>
      </c>
      <c r="I623" s="8"/>
      <c r="J623" s="8"/>
      <c r="K623" s="8"/>
      <c r="L623" s="8" t="str">
        <f>IFERROR(__xludf.DUMMYFUNCTION("""COMPUTED_VALUE"""),"multiple")</f>
        <v>multiple</v>
      </c>
      <c r="M623" s="8">
        <f>IFERROR(__xludf.DUMMYFUNCTION("""COMPUTED_VALUE"""),0.0)</f>
        <v>0</v>
      </c>
      <c r="N623" s="8">
        <f>IFERROR(__xludf.DUMMYFUNCTION("""COMPUTED_VALUE"""),70.0)</f>
        <v>70</v>
      </c>
      <c r="O623" s="8"/>
      <c r="P623" s="8"/>
      <c r="Q623" s="8"/>
      <c r="R623" s="8"/>
      <c r="S623" s="8"/>
      <c r="T623" s="8"/>
      <c r="U623" s="8"/>
      <c r="V623" s="8"/>
      <c r="W623" s="8"/>
      <c r="X623" s="8"/>
      <c r="Y623" s="8"/>
      <c r="Z623" s="8"/>
    </row>
    <row r="624">
      <c r="A624" s="8">
        <f>IFERROR(__xludf.DUMMYFUNCTION("""COMPUTED_VALUE"""),1034.0)</f>
        <v>1034</v>
      </c>
      <c r="B624" s="8" t="str">
        <f>IFERROR(__xludf.DUMMYFUNCTION("""COMPUTED_VALUE"""),"tree")</f>
        <v>tree</v>
      </c>
      <c r="C624" s="8" t="str">
        <f>IFERROR(__xludf.DUMMYFUNCTION("""COMPUTED_VALUE"""),"graft")</f>
        <v>graft</v>
      </c>
      <c r="D624" s="55" t="str">
        <f>IFERROR(__xludf.DUMMYFUNCTION("""COMPUTED_VALUE"""),"Annona muricata")</f>
        <v>Annona muricata</v>
      </c>
      <c r="E624" s="8" t="str">
        <f>IFERROR(__xludf.DUMMYFUNCTION("""COMPUTED_VALUE"""),"Golden")</f>
        <v>Golden</v>
      </c>
      <c r="F624" s="8" t="str">
        <f>IFERROR(__xludf.DUMMYFUNCTION("""COMPUTED_VALUE"""),"Soursop")</f>
        <v>Soursop</v>
      </c>
      <c r="G624" s="8" t="str">
        <f>IFERROR(__xludf.DUMMYFUNCTION("""COMPUTED_VALUE"""),"Corossol")</f>
        <v>Corossol</v>
      </c>
      <c r="H624" s="8" t="str">
        <f>IFERROR(__xludf.DUMMYFUNCTION("""COMPUTED_VALUE"""),"seed")</f>
        <v>seed</v>
      </c>
      <c r="I624" s="8"/>
      <c r="J624" s="8"/>
      <c r="K624" s="8"/>
      <c r="L624" s="8" t="str">
        <f>IFERROR(__xludf.DUMMYFUNCTION("""COMPUTED_VALUE"""),"multiple")</f>
        <v>multiple</v>
      </c>
      <c r="M624" s="8">
        <f>IFERROR(__xludf.DUMMYFUNCTION("""COMPUTED_VALUE"""),0.0)</f>
        <v>0</v>
      </c>
      <c r="N624" s="8">
        <f>IFERROR(__xludf.DUMMYFUNCTION("""COMPUTED_VALUE"""),70.0)</f>
        <v>70</v>
      </c>
      <c r="O624" s="8"/>
      <c r="P624" s="8"/>
      <c r="Q624" s="8"/>
      <c r="R624" s="8"/>
      <c r="S624" s="8"/>
      <c r="T624" s="8"/>
      <c r="U624" s="8"/>
      <c r="V624" s="8"/>
      <c r="W624" s="8"/>
      <c r="X624" s="8"/>
      <c r="Y624" s="8"/>
      <c r="Z624" s="8"/>
    </row>
    <row r="625">
      <c r="A625" s="8">
        <f>IFERROR(__xludf.DUMMYFUNCTION("""COMPUTED_VALUE"""),1035.0)</f>
        <v>1035</v>
      </c>
      <c r="B625" s="8" t="str">
        <f>IFERROR(__xludf.DUMMYFUNCTION("""COMPUTED_VALUE"""),"tree")</f>
        <v>tree</v>
      </c>
      <c r="C625" s="8" t="str">
        <f>IFERROR(__xludf.DUMMYFUNCTION("""COMPUTED_VALUE"""),"graft")</f>
        <v>graft</v>
      </c>
      <c r="D625" s="55" t="str">
        <f>IFERROR(__xludf.DUMMYFUNCTION("""COMPUTED_VALUE"""),"Annona muricata")</f>
        <v>Annona muricata</v>
      </c>
      <c r="E625" s="8" t="str">
        <f>IFERROR(__xludf.DUMMYFUNCTION("""COMPUTED_VALUE"""),"Golden")</f>
        <v>Golden</v>
      </c>
      <c r="F625" s="8" t="str">
        <f>IFERROR(__xludf.DUMMYFUNCTION("""COMPUTED_VALUE"""),"Soursop")</f>
        <v>Soursop</v>
      </c>
      <c r="G625" s="8" t="str">
        <f>IFERROR(__xludf.DUMMYFUNCTION("""COMPUTED_VALUE"""),"Corossol")</f>
        <v>Corossol</v>
      </c>
      <c r="H625" s="8" t="str">
        <f>IFERROR(__xludf.DUMMYFUNCTION("""COMPUTED_VALUE"""),"seed")</f>
        <v>seed</v>
      </c>
      <c r="I625" s="8"/>
      <c r="J625" s="8"/>
      <c r="K625" s="8"/>
      <c r="L625" s="8" t="str">
        <f>IFERROR(__xludf.DUMMYFUNCTION("""COMPUTED_VALUE"""),"multiple")</f>
        <v>multiple</v>
      </c>
      <c r="M625" s="8">
        <f>IFERROR(__xludf.DUMMYFUNCTION("""COMPUTED_VALUE"""),0.0)</f>
        <v>0</v>
      </c>
      <c r="N625" s="8">
        <f>IFERROR(__xludf.DUMMYFUNCTION("""COMPUTED_VALUE"""),70.0)</f>
        <v>70</v>
      </c>
      <c r="O625" s="8"/>
      <c r="P625" s="8"/>
      <c r="Q625" s="8"/>
      <c r="R625" s="8"/>
      <c r="S625" s="8"/>
      <c r="T625" s="8"/>
      <c r="U625" s="8"/>
      <c r="V625" s="8"/>
      <c r="W625" s="8"/>
      <c r="X625" s="8"/>
      <c r="Y625" s="8"/>
      <c r="Z625" s="8"/>
    </row>
    <row r="626">
      <c r="A626" s="8">
        <f>IFERROR(__xludf.DUMMYFUNCTION("""COMPUTED_VALUE"""),1036.0)</f>
        <v>1036</v>
      </c>
      <c r="B626" s="8" t="str">
        <f>IFERROR(__xludf.DUMMYFUNCTION("""COMPUTED_VALUE"""),"tree")</f>
        <v>tree</v>
      </c>
      <c r="C626" s="8" t="str">
        <f>IFERROR(__xludf.DUMMYFUNCTION("""COMPUTED_VALUE"""),"graft")</f>
        <v>graft</v>
      </c>
      <c r="D626" s="55" t="str">
        <f>IFERROR(__xludf.DUMMYFUNCTION("""COMPUTED_VALUE"""),"Annona muricata")</f>
        <v>Annona muricata</v>
      </c>
      <c r="E626" s="8" t="str">
        <f>IFERROR(__xludf.DUMMYFUNCTION("""COMPUTED_VALUE"""),"Golden")</f>
        <v>Golden</v>
      </c>
      <c r="F626" s="8" t="str">
        <f>IFERROR(__xludf.DUMMYFUNCTION("""COMPUTED_VALUE"""),"Soursop")</f>
        <v>Soursop</v>
      </c>
      <c r="G626" s="8" t="str">
        <f>IFERROR(__xludf.DUMMYFUNCTION("""COMPUTED_VALUE"""),"Corossol")</f>
        <v>Corossol</v>
      </c>
      <c r="H626" s="8" t="str">
        <f>IFERROR(__xludf.DUMMYFUNCTION("""COMPUTED_VALUE"""),"seed")</f>
        <v>seed</v>
      </c>
      <c r="I626" s="8"/>
      <c r="J626" s="8"/>
      <c r="K626" s="8"/>
      <c r="L626" s="8" t="str">
        <f>IFERROR(__xludf.DUMMYFUNCTION("""COMPUTED_VALUE"""),"multiple")</f>
        <v>multiple</v>
      </c>
      <c r="M626" s="8">
        <f>IFERROR(__xludf.DUMMYFUNCTION("""COMPUTED_VALUE"""),0.0)</f>
        <v>0</v>
      </c>
      <c r="N626" s="8">
        <f>IFERROR(__xludf.DUMMYFUNCTION("""COMPUTED_VALUE"""),70.0)</f>
        <v>70</v>
      </c>
      <c r="O626" s="8"/>
      <c r="P626" s="8"/>
      <c r="Q626" s="8"/>
      <c r="R626" s="8"/>
      <c r="S626" s="8"/>
      <c r="T626" s="8"/>
      <c r="U626" s="8"/>
      <c r="V626" s="8"/>
      <c r="W626" s="8"/>
      <c r="X626" s="8"/>
      <c r="Y626" s="8"/>
      <c r="Z626" s="8"/>
    </row>
    <row r="627">
      <c r="A627" s="8">
        <f>IFERROR(__xludf.DUMMYFUNCTION("""COMPUTED_VALUE"""),1037.0)</f>
        <v>1037</v>
      </c>
      <c r="B627" s="8" t="str">
        <f>IFERROR(__xludf.DUMMYFUNCTION("""COMPUTED_VALUE"""),"tree")</f>
        <v>tree</v>
      </c>
      <c r="C627" s="8" t="str">
        <f>IFERROR(__xludf.DUMMYFUNCTION("""COMPUTED_VALUE"""),"graft")</f>
        <v>graft</v>
      </c>
      <c r="D627" s="55" t="str">
        <f>IFERROR(__xludf.DUMMYFUNCTION("""COMPUTED_VALUE"""),"Annona muricata")</f>
        <v>Annona muricata</v>
      </c>
      <c r="E627" s="8" t="str">
        <f>IFERROR(__xludf.DUMMYFUNCTION("""COMPUTED_VALUE"""),"Golden")</f>
        <v>Golden</v>
      </c>
      <c r="F627" s="8" t="str">
        <f>IFERROR(__xludf.DUMMYFUNCTION("""COMPUTED_VALUE"""),"Soursop")</f>
        <v>Soursop</v>
      </c>
      <c r="G627" s="8" t="str">
        <f>IFERROR(__xludf.DUMMYFUNCTION("""COMPUTED_VALUE"""),"Corossol")</f>
        <v>Corossol</v>
      </c>
      <c r="H627" s="8" t="str">
        <f>IFERROR(__xludf.DUMMYFUNCTION("""COMPUTED_VALUE"""),"seed")</f>
        <v>seed</v>
      </c>
      <c r="I627" s="8"/>
      <c r="J627" s="8"/>
      <c r="K627" s="8"/>
      <c r="L627" s="8" t="str">
        <f>IFERROR(__xludf.DUMMYFUNCTION("""COMPUTED_VALUE"""),"multiple")</f>
        <v>multiple</v>
      </c>
      <c r="M627" s="8">
        <f>IFERROR(__xludf.DUMMYFUNCTION("""COMPUTED_VALUE"""),0.0)</f>
        <v>0</v>
      </c>
      <c r="N627" s="8">
        <f>IFERROR(__xludf.DUMMYFUNCTION("""COMPUTED_VALUE"""),70.0)</f>
        <v>70</v>
      </c>
      <c r="O627" s="8"/>
      <c r="P627" s="8"/>
      <c r="Q627" s="8"/>
      <c r="R627" s="8"/>
      <c r="S627" s="8"/>
      <c r="T627" s="8"/>
      <c r="U627" s="8"/>
      <c r="V627" s="8"/>
      <c r="W627" s="8"/>
      <c r="X627" s="8"/>
      <c r="Y627" s="8"/>
      <c r="Z627" s="8"/>
    </row>
    <row r="628">
      <c r="A628" s="8">
        <f>IFERROR(__xludf.DUMMYFUNCTION("""COMPUTED_VALUE"""),1038.0)</f>
        <v>1038</v>
      </c>
      <c r="B628" s="8" t="str">
        <f>IFERROR(__xludf.DUMMYFUNCTION("""COMPUTED_VALUE"""),"tree")</f>
        <v>tree</v>
      </c>
      <c r="C628" s="8" t="str">
        <f>IFERROR(__xludf.DUMMYFUNCTION("""COMPUTED_VALUE"""),"graft")</f>
        <v>graft</v>
      </c>
      <c r="D628" s="55" t="str">
        <f>IFERROR(__xludf.DUMMYFUNCTION("""COMPUTED_VALUE"""),"Annona muricata")</f>
        <v>Annona muricata</v>
      </c>
      <c r="E628" s="8" t="str">
        <f>IFERROR(__xludf.DUMMYFUNCTION("""COMPUTED_VALUE"""),"Golden")</f>
        <v>Golden</v>
      </c>
      <c r="F628" s="8" t="str">
        <f>IFERROR(__xludf.DUMMYFUNCTION("""COMPUTED_VALUE"""),"Soursop")</f>
        <v>Soursop</v>
      </c>
      <c r="G628" s="8" t="str">
        <f>IFERROR(__xludf.DUMMYFUNCTION("""COMPUTED_VALUE"""),"Corossol")</f>
        <v>Corossol</v>
      </c>
      <c r="H628" s="8" t="str">
        <f>IFERROR(__xludf.DUMMYFUNCTION("""COMPUTED_VALUE"""),"seed")</f>
        <v>seed</v>
      </c>
      <c r="I628" s="8"/>
      <c r="J628" s="8"/>
      <c r="K628" s="8"/>
      <c r="L628" s="8" t="str">
        <f>IFERROR(__xludf.DUMMYFUNCTION("""COMPUTED_VALUE"""),"multiple")</f>
        <v>multiple</v>
      </c>
      <c r="M628" s="8">
        <f>IFERROR(__xludf.DUMMYFUNCTION("""COMPUTED_VALUE"""),0.0)</f>
        <v>0</v>
      </c>
      <c r="N628" s="8">
        <f>IFERROR(__xludf.DUMMYFUNCTION("""COMPUTED_VALUE"""),70.0)</f>
        <v>70</v>
      </c>
      <c r="O628" s="8"/>
      <c r="P628" s="8"/>
      <c r="Q628" s="8"/>
      <c r="R628" s="8"/>
      <c r="S628" s="8"/>
      <c r="T628" s="8"/>
      <c r="U628" s="8"/>
      <c r="V628" s="8"/>
      <c r="W628" s="8"/>
      <c r="X628" s="8"/>
      <c r="Y628" s="8"/>
      <c r="Z628" s="8"/>
    </row>
    <row r="629">
      <c r="A629" s="8">
        <f>IFERROR(__xludf.DUMMYFUNCTION("""COMPUTED_VALUE"""),1039.0)</f>
        <v>1039</v>
      </c>
      <c r="B629" s="8" t="str">
        <f>IFERROR(__xludf.DUMMYFUNCTION("""COMPUTED_VALUE"""),"tree")</f>
        <v>tree</v>
      </c>
      <c r="C629" s="8" t="str">
        <f>IFERROR(__xludf.DUMMYFUNCTION("""COMPUTED_VALUE"""),"graft")</f>
        <v>graft</v>
      </c>
      <c r="D629" s="55" t="str">
        <f>IFERROR(__xludf.DUMMYFUNCTION("""COMPUTED_VALUE"""),"Annona muricata")</f>
        <v>Annona muricata</v>
      </c>
      <c r="E629" s="8" t="str">
        <f>IFERROR(__xludf.DUMMYFUNCTION("""COMPUTED_VALUE"""),"Golden")</f>
        <v>Golden</v>
      </c>
      <c r="F629" s="8" t="str">
        <f>IFERROR(__xludf.DUMMYFUNCTION("""COMPUTED_VALUE"""),"Soursop")</f>
        <v>Soursop</v>
      </c>
      <c r="G629" s="8" t="str">
        <f>IFERROR(__xludf.DUMMYFUNCTION("""COMPUTED_VALUE"""),"Corossol")</f>
        <v>Corossol</v>
      </c>
      <c r="H629" s="8" t="str">
        <f>IFERROR(__xludf.DUMMYFUNCTION("""COMPUTED_VALUE"""),"seed")</f>
        <v>seed</v>
      </c>
      <c r="I629" s="8"/>
      <c r="J629" s="8"/>
      <c r="K629" s="8"/>
      <c r="L629" s="8" t="str">
        <f>IFERROR(__xludf.DUMMYFUNCTION("""COMPUTED_VALUE"""),"multiple")</f>
        <v>multiple</v>
      </c>
      <c r="M629" s="8">
        <f>IFERROR(__xludf.DUMMYFUNCTION("""COMPUTED_VALUE"""),0.0)</f>
        <v>0</v>
      </c>
      <c r="N629" s="8">
        <f>IFERROR(__xludf.DUMMYFUNCTION("""COMPUTED_VALUE"""),70.0)</f>
        <v>70</v>
      </c>
      <c r="O629" s="8"/>
      <c r="P629" s="8"/>
      <c r="Q629" s="8"/>
      <c r="R629" s="8"/>
      <c r="S629" s="8"/>
      <c r="T629" s="8"/>
      <c r="U629" s="8"/>
      <c r="V629" s="8"/>
      <c r="W629" s="8"/>
      <c r="X629" s="8"/>
      <c r="Y629" s="8"/>
      <c r="Z629" s="8"/>
    </row>
    <row r="630">
      <c r="A630" s="8">
        <f>IFERROR(__xludf.DUMMYFUNCTION("""COMPUTED_VALUE"""),1040.0)</f>
        <v>1040</v>
      </c>
      <c r="B630" s="8" t="str">
        <f>IFERROR(__xludf.DUMMYFUNCTION("""COMPUTED_VALUE"""),"tree")</f>
        <v>tree</v>
      </c>
      <c r="C630" s="8" t="str">
        <f>IFERROR(__xludf.DUMMYFUNCTION("""COMPUTED_VALUE"""),"graft")</f>
        <v>graft</v>
      </c>
      <c r="D630" s="55" t="str">
        <f>IFERROR(__xludf.DUMMYFUNCTION("""COMPUTED_VALUE"""),"Annona muricata")</f>
        <v>Annona muricata</v>
      </c>
      <c r="E630" s="8" t="str">
        <f>IFERROR(__xludf.DUMMYFUNCTION("""COMPUTED_VALUE"""),"Golden")</f>
        <v>Golden</v>
      </c>
      <c r="F630" s="8" t="str">
        <f>IFERROR(__xludf.DUMMYFUNCTION("""COMPUTED_VALUE"""),"Soursop")</f>
        <v>Soursop</v>
      </c>
      <c r="G630" s="8" t="str">
        <f>IFERROR(__xludf.DUMMYFUNCTION("""COMPUTED_VALUE"""),"Corossol")</f>
        <v>Corossol</v>
      </c>
      <c r="H630" s="8" t="str">
        <f>IFERROR(__xludf.DUMMYFUNCTION("""COMPUTED_VALUE"""),"seed")</f>
        <v>seed</v>
      </c>
      <c r="I630" s="8"/>
      <c r="J630" s="8"/>
      <c r="K630" s="8"/>
      <c r="L630" s="8" t="str">
        <f>IFERROR(__xludf.DUMMYFUNCTION("""COMPUTED_VALUE"""),"multiple")</f>
        <v>multiple</v>
      </c>
      <c r="M630" s="8">
        <f>IFERROR(__xludf.DUMMYFUNCTION("""COMPUTED_VALUE"""),0.0)</f>
        <v>0</v>
      </c>
      <c r="N630" s="8">
        <f>IFERROR(__xludf.DUMMYFUNCTION("""COMPUTED_VALUE"""),70.0)</f>
        <v>70</v>
      </c>
      <c r="O630" s="8"/>
      <c r="P630" s="8"/>
      <c r="Q630" s="8"/>
      <c r="R630" s="8"/>
      <c r="S630" s="8"/>
      <c r="T630" s="8"/>
      <c r="U630" s="8"/>
      <c r="V630" s="8"/>
      <c r="W630" s="8"/>
      <c r="X630" s="8"/>
      <c r="Y630" s="8"/>
      <c r="Z630" s="8"/>
    </row>
    <row r="631">
      <c r="A631" s="8">
        <f>IFERROR(__xludf.DUMMYFUNCTION("""COMPUTED_VALUE"""),1041.0)</f>
        <v>1041</v>
      </c>
      <c r="B631" s="8" t="str">
        <f>IFERROR(__xludf.DUMMYFUNCTION("""COMPUTED_VALUE"""),"tree")</f>
        <v>tree</v>
      </c>
      <c r="C631" s="8" t="str">
        <f>IFERROR(__xludf.DUMMYFUNCTION("""COMPUTED_VALUE"""),"graft")</f>
        <v>graft</v>
      </c>
      <c r="D631" s="55" t="str">
        <f>IFERROR(__xludf.DUMMYFUNCTION("""COMPUTED_VALUE"""),"Annona muricata")</f>
        <v>Annona muricata</v>
      </c>
      <c r="E631" s="8" t="str">
        <f>IFERROR(__xludf.DUMMYFUNCTION("""COMPUTED_VALUE"""),"Golden")</f>
        <v>Golden</v>
      </c>
      <c r="F631" s="8" t="str">
        <f>IFERROR(__xludf.DUMMYFUNCTION("""COMPUTED_VALUE"""),"Soursop")</f>
        <v>Soursop</v>
      </c>
      <c r="G631" s="8" t="str">
        <f>IFERROR(__xludf.DUMMYFUNCTION("""COMPUTED_VALUE"""),"Corossol")</f>
        <v>Corossol</v>
      </c>
      <c r="H631" s="8" t="str">
        <f>IFERROR(__xludf.DUMMYFUNCTION("""COMPUTED_VALUE"""),"seed")</f>
        <v>seed</v>
      </c>
      <c r="I631" s="8"/>
      <c r="J631" s="8"/>
      <c r="K631" s="8"/>
      <c r="L631" s="8" t="str">
        <f>IFERROR(__xludf.DUMMYFUNCTION("""COMPUTED_VALUE"""),"multiple")</f>
        <v>multiple</v>
      </c>
      <c r="M631" s="8">
        <f>IFERROR(__xludf.DUMMYFUNCTION("""COMPUTED_VALUE"""),0.0)</f>
        <v>0</v>
      </c>
      <c r="N631" s="8">
        <f>IFERROR(__xludf.DUMMYFUNCTION("""COMPUTED_VALUE"""),70.0)</f>
        <v>70</v>
      </c>
      <c r="O631" s="8"/>
      <c r="P631" s="8"/>
      <c r="Q631" s="8"/>
      <c r="R631" s="8"/>
      <c r="S631" s="8"/>
      <c r="T631" s="8"/>
      <c r="U631" s="8"/>
      <c r="V631" s="8"/>
      <c r="W631" s="8"/>
      <c r="X631" s="8"/>
      <c r="Y631" s="8"/>
      <c r="Z631" s="8"/>
    </row>
    <row r="632">
      <c r="A632" s="8">
        <f>IFERROR(__xludf.DUMMYFUNCTION("""COMPUTED_VALUE"""),1042.0)</f>
        <v>1042</v>
      </c>
      <c r="B632" s="8" t="str">
        <f>IFERROR(__xludf.DUMMYFUNCTION("""COMPUTED_VALUE"""),"tree")</f>
        <v>tree</v>
      </c>
      <c r="C632" s="8" t="str">
        <f>IFERROR(__xludf.DUMMYFUNCTION("""COMPUTED_VALUE"""),"graft")</f>
        <v>graft</v>
      </c>
      <c r="D632" s="55" t="str">
        <f>IFERROR(__xludf.DUMMYFUNCTION("""COMPUTED_VALUE"""),"Annona muricata")</f>
        <v>Annona muricata</v>
      </c>
      <c r="E632" s="8" t="str">
        <f>IFERROR(__xludf.DUMMYFUNCTION("""COMPUTED_VALUE"""),"Golden")</f>
        <v>Golden</v>
      </c>
      <c r="F632" s="8" t="str">
        <f>IFERROR(__xludf.DUMMYFUNCTION("""COMPUTED_VALUE"""),"Soursop")</f>
        <v>Soursop</v>
      </c>
      <c r="G632" s="8" t="str">
        <f>IFERROR(__xludf.DUMMYFUNCTION("""COMPUTED_VALUE"""),"Corossol")</f>
        <v>Corossol</v>
      </c>
      <c r="H632" s="8" t="str">
        <f>IFERROR(__xludf.DUMMYFUNCTION("""COMPUTED_VALUE"""),"seed")</f>
        <v>seed</v>
      </c>
      <c r="I632" s="8"/>
      <c r="J632" s="8"/>
      <c r="K632" s="8"/>
      <c r="L632" s="8" t="str">
        <f>IFERROR(__xludf.DUMMYFUNCTION("""COMPUTED_VALUE"""),"multiple")</f>
        <v>multiple</v>
      </c>
      <c r="M632" s="8">
        <f>IFERROR(__xludf.DUMMYFUNCTION("""COMPUTED_VALUE"""),0.0)</f>
        <v>0</v>
      </c>
      <c r="N632" s="8">
        <f>IFERROR(__xludf.DUMMYFUNCTION("""COMPUTED_VALUE"""),70.0)</f>
        <v>70</v>
      </c>
      <c r="O632" s="8"/>
      <c r="P632" s="8"/>
      <c r="Q632" s="8"/>
      <c r="R632" s="8"/>
      <c r="S632" s="8"/>
      <c r="T632" s="8"/>
      <c r="U632" s="8"/>
      <c r="V632" s="8"/>
      <c r="W632" s="8"/>
      <c r="X632" s="8"/>
      <c r="Y632" s="8"/>
      <c r="Z632" s="8"/>
    </row>
    <row r="633">
      <c r="A633" s="8">
        <f>IFERROR(__xludf.DUMMYFUNCTION("""COMPUTED_VALUE"""),1043.0)</f>
        <v>1043</v>
      </c>
      <c r="B633" s="8" t="str">
        <f>IFERROR(__xludf.DUMMYFUNCTION("""COMPUTED_VALUE"""),"tree")</f>
        <v>tree</v>
      </c>
      <c r="C633" s="8" t="str">
        <f>IFERROR(__xludf.DUMMYFUNCTION("""COMPUTED_VALUE"""),"graft")</f>
        <v>graft</v>
      </c>
      <c r="D633" s="55" t="str">
        <f>IFERROR(__xludf.DUMMYFUNCTION("""COMPUTED_VALUE"""),"Annona muricata")</f>
        <v>Annona muricata</v>
      </c>
      <c r="E633" s="8" t="str">
        <f>IFERROR(__xludf.DUMMYFUNCTION("""COMPUTED_VALUE"""),"Golden")</f>
        <v>Golden</v>
      </c>
      <c r="F633" s="8" t="str">
        <f>IFERROR(__xludf.DUMMYFUNCTION("""COMPUTED_VALUE"""),"Soursop")</f>
        <v>Soursop</v>
      </c>
      <c r="G633" s="8" t="str">
        <f>IFERROR(__xludf.DUMMYFUNCTION("""COMPUTED_VALUE"""),"Corossol")</f>
        <v>Corossol</v>
      </c>
      <c r="H633" s="8" t="str">
        <f>IFERROR(__xludf.DUMMYFUNCTION("""COMPUTED_VALUE"""),"seed")</f>
        <v>seed</v>
      </c>
      <c r="I633" s="8"/>
      <c r="J633" s="8"/>
      <c r="K633" s="8"/>
      <c r="L633" s="8" t="str">
        <f>IFERROR(__xludf.DUMMYFUNCTION("""COMPUTED_VALUE"""),"multiple")</f>
        <v>multiple</v>
      </c>
      <c r="M633" s="8">
        <f>IFERROR(__xludf.DUMMYFUNCTION("""COMPUTED_VALUE"""),0.0)</f>
        <v>0</v>
      </c>
      <c r="N633" s="8">
        <f>IFERROR(__xludf.DUMMYFUNCTION("""COMPUTED_VALUE"""),70.0)</f>
        <v>70</v>
      </c>
      <c r="O633" s="8"/>
      <c r="P633" s="8"/>
      <c r="Q633" s="8"/>
      <c r="R633" s="8"/>
      <c r="S633" s="8"/>
      <c r="T633" s="8"/>
      <c r="U633" s="8"/>
      <c r="V633" s="8"/>
      <c r="W633" s="8"/>
      <c r="X633" s="8"/>
      <c r="Y633" s="8"/>
      <c r="Z633" s="8"/>
    </row>
    <row r="634">
      <c r="A634" s="8">
        <f>IFERROR(__xludf.DUMMYFUNCTION("""COMPUTED_VALUE"""),1044.0)</f>
        <v>1044</v>
      </c>
      <c r="B634" s="8" t="str">
        <f>IFERROR(__xludf.DUMMYFUNCTION("""COMPUTED_VALUE"""),"tree")</f>
        <v>tree</v>
      </c>
      <c r="C634" s="8" t="str">
        <f>IFERROR(__xludf.DUMMYFUNCTION("""COMPUTED_VALUE"""),"graft")</f>
        <v>graft</v>
      </c>
      <c r="D634" s="55" t="str">
        <f>IFERROR(__xludf.DUMMYFUNCTION("""COMPUTED_VALUE"""),"Annona muricata")</f>
        <v>Annona muricata</v>
      </c>
      <c r="E634" s="8" t="str">
        <f>IFERROR(__xludf.DUMMYFUNCTION("""COMPUTED_VALUE"""),"Golden")</f>
        <v>Golden</v>
      </c>
      <c r="F634" s="8" t="str">
        <f>IFERROR(__xludf.DUMMYFUNCTION("""COMPUTED_VALUE"""),"Soursop")</f>
        <v>Soursop</v>
      </c>
      <c r="G634" s="8" t="str">
        <f>IFERROR(__xludf.DUMMYFUNCTION("""COMPUTED_VALUE"""),"Corossol")</f>
        <v>Corossol</v>
      </c>
      <c r="H634" s="8" t="str">
        <f>IFERROR(__xludf.DUMMYFUNCTION("""COMPUTED_VALUE"""),"seed")</f>
        <v>seed</v>
      </c>
      <c r="I634" s="8"/>
      <c r="J634" s="8"/>
      <c r="K634" s="8"/>
      <c r="L634" s="8" t="str">
        <f>IFERROR(__xludf.DUMMYFUNCTION("""COMPUTED_VALUE"""),"multiple")</f>
        <v>multiple</v>
      </c>
      <c r="M634" s="8">
        <f>IFERROR(__xludf.DUMMYFUNCTION("""COMPUTED_VALUE"""),0.0)</f>
        <v>0</v>
      </c>
      <c r="N634" s="8">
        <f>IFERROR(__xludf.DUMMYFUNCTION("""COMPUTED_VALUE"""),70.0)</f>
        <v>70</v>
      </c>
      <c r="O634" s="8"/>
      <c r="P634" s="8"/>
      <c r="Q634" s="8"/>
      <c r="R634" s="8"/>
      <c r="S634" s="8"/>
      <c r="T634" s="8"/>
      <c r="U634" s="8"/>
      <c r="V634" s="8"/>
      <c r="W634" s="8"/>
      <c r="X634" s="8"/>
      <c r="Y634" s="8"/>
      <c r="Z634" s="8"/>
    </row>
    <row r="635">
      <c r="A635" s="8">
        <f>IFERROR(__xludf.DUMMYFUNCTION("""COMPUTED_VALUE"""),1045.0)</f>
        <v>1045</v>
      </c>
      <c r="B635" s="8" t="str">
        <f>IFERROR(__xludf.DUMMYFUNCTION("""COMPUTED_VALUE"""),"tree")</f>
        <v>tree</v>
      </c>
      <c r="C635" s="8" t="str">
        <f>IFERROR(__xludf.DUMMYFUNCTION("""COMPUTED_VALUE"""),"graft")</f>
        <v>graft</v>
      </c>
      <c r="D635" s="55" t="str">
        <f>IFERROR(__xludf.DUMMYFUNCTION("""COMPUTED_VALUE"""),"Annona muricata")</f>
        <v>Annona muricata</v>
      </c>
      <c r="E635" s="8" t="str">
        <f>IFERROR(__xludf.DUMMYFUNCTION("""COMPUTED_VALUE"""),"Golden")</f>
        <v>Golden</v>
      </c>
      <c r="F635" s="8" t="str">
        <f>IFERROR(__xludf.DUMMYFUNCTION("""COMPUTED_VALUE"""),"Soursop")</f>
        <v>Soursop</v>
      </c>
      <c r="G635" s="8" t="str">
        <f>IFERROR(__xludf.DUMMYFUNCTION("""COMPUTED_VALUE"""),"Corossol")</f>
        <v>Corossol</v>
      </c>
      <c r="H635" s="8" t="str">
        <f>IFERROR(__xludf.DUMMYFUNCTION("""COMPUTED_VALUE"""),"seed")</f>
        <v>seed</v>
      </c>
      <c r="I635" s="8"/>
      <c r="J635" s="8"/>
      <c r="K635" s="8"/>
      <c r="L635" s="8" t="str">
        <f>IFERROR(__xludf.DUMMYFUNCTION("""COMPUTED_VALUE"""),"multiple")</f>
        <v>multiple</v>
      </c>
      <c r="M635" s="8">
        <f>IFERROR(__xludf.DUMMYFUNCTION("""COMPUTED_VALUE"""),0.0)</f>
        <v>0</v>
      </c>
      <c r="N635" s="8">
        <f>IFERROR(__xludf.DUMMYFUNCTION("""COMPUTED_VALUE"""),70.0)</f>
        <v>70</v>
      </c>
      <c r="O635" s="8"/>
      <c r="P635" s="8"/>
      <c r="Q635" s="8"/>
      <c r="R635" s="8"/>
      <c r="S635" s="8"/>
      <c r="T635" s="8"/>
      <c r="U635" s="8"/>
      <c r="V635" s="8"/>
      <c r="W635" s="8"/>
      <c r="X635" s="8"/>
      <c r="Y635" s="8"/>
      <c r="Z635" s="8"/>
    </row>
    <row r="636">
      <c r="A636" s="8">
        <f>IFERROR(__xludf.DUMMYFUNCTION("""COMPUTED_VALUE"""),1046.0)</f>
        <v>1046</v>
      </c>
      <c r="B636" s="8" t="str">
        <f>IFERROR(__xludf.DUMMYFUNCTION("""COMPUTED_VALUE"""),"tree")</f>
        <v>tree</v>
      </c>
      <c r="C636" s="8" t="str">
        <f>IFERROR(__xludf.DUMMYFUNCTION("""COMPUTED_VALUE"""),"graft")</f>
        <v>graft</v>
      </c>
      <c r="D636" s="55" t="str">
        <f>IFERROR(__xludf.DUMMYFUNCTION("""COMPUTED_VALUE"""),"Annona muricata")</f>
        <v>Annona muricata</v>
      </c>
      <c r="E636" s="8" t="str">
        <f>IFERROR(__xludf.DUMMYFUNCTION("""COMPUTED_VALUE"""),"Golden")</f>
        <v>Golden</v>
      </c>
      <c r="F636" s="8" t="str">
        <f>IFERROR(__xludf.DUMMYFUNCTION("""COMPUTED_VALUE"""),"Soursop")</f>
        <v>Soursop</v>
      </c>
      <c r="G636" s="8" t="str">
        <f>IFERROR(__xludf.DUMMYFUNCTION("""COMPUTED_VALUE"""),"Corossol")</f>
        <v>Corossol</v>
      </c>
      <c r="H636" s="8" t="str">
        <f>IFERROR(__xludf.DUMMYFUNCTION("""COMPUTED_VALUE"""),"seed")</f>
        <v>seed</v>
      </c>
      <c r="I636" s="8"/>
      <c r="J636" s="8"/>
      <c r="K636" s="8"/>
      <c r="L636" s="8" t="str">
        <f>IFERROR(__xludf.DUMMYFUNCTION("""COMPUTED_VALUE"""),"multiple")</f>
        <v>multiple</v>
      </c>
      <c r="M636" s="8">
        <f>IFERROR(__xludf.DUMMYFUNCTION("""COMPUTED_VALUE"""),0.0)</f>
        <v>0</v>
      </c>
      <c r="N636" s="8">
        <f>IFERROR(__xludf.DUMMYFUNCTION("""COMPUTED_VALUE"""),70.0)</f>
        <v>70</v>
      </c>
      <c r="O636" s="8"/>
      <c r="P636" s="8"/>
      <c r="Q636" s="8"/>
      <c r="R636" s="8"/>
      <c r="S636" s="8"/>
      <c r="T636" s="8"/>
      <c r="U636" s="8"/>
      <c r="V636" s="8"/>
      <c r="W636" s="8"/>
      <c r="X636" s="8"/>
      <c r="Y636" s="8"/>
      <c r="Z636" s="8"/>
    </row>
    <row r="637">
      <c r="A637" s="8">
        <f>IFERROR(__xludf.DUMMYFUNCTION("""COMPUTED_VALUE"""),1047.0)</f>
        <v>1047</v>
      </c>
      <c r="B637" s="8" t="str">
        <f>IFERROR(__xludf.DUMMYFUNCTION("""COMPUTED_VALUE"""),"tree")</f>
        <v>tree</v>
      </c>
      <c r="C637" s="8" t="str">
        <f>IFERROR(__xludf.DUMMYFUNCTION("""COMPUTED_VALUE"""),"graft")</f>
        <v>graft</v>
      </c>
      <c r="D637" s="55" t="str">
        <f>IFERROR(__xludf.DUMMYFUNCTION("""COMPUTED_VALUE"""),"Annona muricata")</f>
        <v>Annona muricata</v>
      </c>
      <c r="E637" s="8" t="str">
        <f>IFERROR(__xludf.DUMMYFUNCTION("""COMPUTED_VALUE"""),"Golden")</f>
        <v>Golden</v>
      </c>
      <c r="F637" s="8" t="str">
        <f>IFERROR(__xludf.DUMMYFUNCTION("""COMPUTED_VALUE"""),"Soursop")</f>
        <v>Soursop</v>
      </c>
      <c r="G637" s="8" t="str">
        <f>IFERROR(__xludf.DUMMYFUNCTION("""COMPUTED_VALUE"""),"Corossol")</f>
        <v>Corossol</v>
      </c>
      <c r="H637" s="8" t="str">
        <f>IFERROR(__xludf.DUMMYFUNCTION("""COMPUTED_VALUE"""),"seed")</f>
        <v>seed</v>
      </c>
      <c r="I637" s="8"/>
      <c r="J637" s="8"/>
      <c r="K637" s="8"/>
      <c r="L637" s="8" t="str">
        <f>IFERROR(__xludf.DUMMYFUNCTION("""COMPUTED_VALUE"""),"multiple")</f>
        <v>multiple</v>
      </c>
      <c r="M637" s="8">
        <f>IFERROR(__xludf.DUMMYFUNCTION("""COMPUTED_VALUE"""),0.0)</f>
        <v>0</v>
      </c>
      <c r="N637" s="8">
        <f>IFERROR(__xludf.DUMMYFUNCTION("""COMPUTED_VALUE"""),70.0)</f>
        <v>70</v>
      </c>
      <c r="O637" s="8"/>
      <c r="P637" s="8"/>
      <c r="Q637" s="8"/>
      <c r="R637" s="8"/>
      <c r="S637" s="8"/>
      <c r="T637" s="8"/>
      <c r="U637" s="8"/>
      <c r="V637" s="8"/>
      <c r="W637" s="8"/>
      <c r="X637" s="8"/>
      <c r="Y637" s="8"/>
      <c r="Z637" s="8"/>
    </row>
    <row r="638">
      <c r="A638" s="8">
        <f>IFERROR(__xludf.DUMMYFUNCTION("""COMPUTED_VALUE"""),1048.0)</f>
        <v>1048</v>
      </c>
      <c r="B638" s="8" t="str">
        <f>IFERROR(__xludf.DUMMYFUNCTION("""COMPUTED_VALUE"""),"tree")</f>
        <v>tree</v>
      </c>
      <c r="C638" s="8" t="str">
        <f>IFERROR(__xludf.DUMMYFUNCTION("""COMPUTED_VALUE"""),"graft")</f>
        <v>graft</v>
      </c>
      <c r="D638" s="55" t="str">
        <f>IFERROR(__xludf.DUMMYFUNCTION("""COMPUTED_VALUE"""),"Annona muricata")</f>
        <v>Annona muricata</v>
      </c>
      <c r="E638" s="8" t="str">
        <f>IFERROR(__xludf.DUMMYFUNCTION("""COMPUTED_VALUE"""),"Golden")</f>
        <v>Golden</v>
      </c>
      <c r="F638" s="8" t="str">
        <f>IFERROR(__xludf.DUMMYFUNCTION("""COMPUTED_VALUE"""),"Soursop")</f>
        <v>Soursop</v>
      </c>
      <c r="G638" s="8" t="str">
        <f>IFERROR(__xludf.DUMMYFUNCTION("""COMPUTED_VALUE"""),"Corossol")</f>
        <v>Corossol</v>
      </c>
      <c r="H638" s="8" t="str">
        <f>IFERROR(__xludf.DUMMYFUNCTION("""COMPUTED_VALUE"""),"seed")</f>
        <v>seed</v>
      </c>
      <c r="I638" s="8"/>
      <c r="J638" s="8"/>
      <c r="K638" s="8"/>
      <c r="L638" s="8" t="str">
        <f>IFERROR(__xludf.DUMMYFUNCTION("""COMPUTED_VALUE"""),"multiple")</f>
        <v>multiple</v>
      </c>
      <c r="M638" s="8">
        <f>IFERROR(__xludf.DUMMYFUNCTION("""COMPUTED_VALUE"""),0.0)</f>
        <v>0</v>
      </c>
      <c r="N638" s="8">
        <f>IFERROR(__xludf.DUMMYFUNCTION("""COMPUTED_VALUE"""),70.0)</f>
        <v>70</v>
      </c>
      <c r="O638" s="8"/>
      <c r="P638" s="8"/>
      <c r="Q638" s="8"/>
      <c r="R638" s="8"/>
      <c r="S638" s="8"/>
      <c r="T638" s="8"/>
      <c r="U638" s="8"/>
      <c r="V638" s="8"/>
      <c r="W638" s="8"/>
      <c r="X638" s="8"/>
      <c r="Y638" s="8"/>
      <c r="Z638" s="8"/>
    </row>
    <row r="639">
      <c r="A639" s="8">
        <f>IFERROR(__xludf.DUMMYFUNCTION("""COMPUTED_VALUE"""),1049.0)</f>
        <v>1049</v>
      </c>
      <c r="B639" s="8" t="str">
        <f>IFERROR(__xludf.DUMMYFUNCTION("""COMPUTED_VALUE"""),"tree")</f>
        <v>tree</v>
      </c>
      <c r="C639" s="8" t="str">
        <f>IFERROR(__xludf.DUMMYFUNCTION("""COMPUTED_VALUE"""),"graft")</f>
        <v>graft</v>
      </c>
      <c r="D639" s="55" t="str">
        <f>IFERROR(__xludf.DUMMYFUNCTION("""COMPUTED_VALUE"""),"Annona muricata")</f>
        <v>Annona muricata</v>
      </c>
      <c r="E639" s="8" t="str">
        <f>IFERROR(__xludf.DUMMYFUNCTION("""COMPUTED_VALUE"""),"Golden")</f>
        <v>Golden</v>
      </c>
      <c r="F639" s="8" t="str">
        <f>IFERROR(__xludf.DUMMYFUNCTION("""COMPUTED_VALUE"""),"Soursop")</f>
        <v>Soursop</v>
      </c>
      <c r="G639" s="8" t="str">
        <f>IFERROR(__xludf.DUMMYFUNCTION("""COMPUTED_VALUE"""),"Corossol")</f>
        <v>Corossol</v>
      </c>
      <c r="H639" s="8" t="str">
        <f>IFERROR(__xludf.DUMMYFUNCTION("""COMPUTED_VALUE"""),"seed")</f>
        <v>seed</v>
      </c>
      <c r="I639" s="8"/>
      <c r="J639" s="8"/>
      <c r="K639" s="8"/>
      <c r="L639" s="8" t="str">
        <f>IFERROR(__xludf.DUMMYFUNCTION("""COMPUTED_VALUE"""),"multiple")</f>
        <v>multiple</v>
      </c>
      <c r="M639" s="8">
        <f>IFERROR(__xludf.DUMMYFUNCTION("""COMPUTED_VALUE"""),0.0)</f>
        <v>0</v>
      </c>
      <c r="N639" s="8">
        <f>IFERROR(__xludf.DUMMYFUNCTION("""COMPUTED_VALUE"""),70.0)</f>
        <v>70</v>
      </c>
      <c r="O639" s="8"/>
      <c r="P639" s="8"/>
      <c r="Q639" s="8"/>
      <c r="R639" s="8"/>
      <c r="S639" s="8"/>
      <c r="T639" s="8"/>
      <c r="U639" s="8"/>
      <c r="V639" s="8"/>
      <c r="W639" s="8"/>
      <c r="X639" s="8"/>
      <c r="Y639" s="8"/>
      <c r="Z639" s="8"/>
    </row>
    <row r="640">
      <c r="A640" s="8">
        <f>IFERROR(__xludf.DUMMYFUNCTION("""COMPUTED_VALUE"""),1050.0)</f>
        <v>1050</v>
      </c>
      <c r="B640" s="8" t="str">
        <f>IFERROR(__xludf.DUMMYFUNCTION("""COMPUTED_VALUE"""),"tree")</f>
        <v>tree</v>
      </c>
      <c r="C640" s="8" t="str">
        <f>IFERROR(__xludf.DUMMYFUNCTION("""COMPUTED_VALUE"""),"graft")</f>
        <v>graft</v>
      </c>
      <c r="D640" s="55" t="str">
        <f>IFERROR(__xludf.DUMMYFUNCTION("""COMPUTED_VALUE"""),"Annona muricata")</f>
        <v>Annona muricata</v>
      </c>
      <c r="E640" s="8" t="str">
        <f>IFERROR(__xludf.DUMMYFUNCTION("""COMPUTED_VALUE"""),"Golden")</f>
        <v>Golden</v>
      </c>
      <c r="F640" s="8" t="str">
        <f>IFERROR(__xludf.DUMMYFUNCTION("""COMPUTED_VALUE"""),"Soursop")</f>
        <v>Soursop</v>
      </c>
      <c r="G640" s="8" t="str">
        <f>IFERROR(__xludf.DUMMYFUNCTION("""COMPUTED_VALUE"""),"Corossol")</f>
        <v>Corossol</v>
      </c>
      <c r="H640" s="8" t="str">
        <f>IFERROR(__xludf.DUMMYFUNCTION("""COMPUTED_VALUE"""),"seed")</f>
        <v>seed</v>
      </c>
      <c r="I640" s="8"/>
      <c r="J640" s="8"/>
      <c r="K640" s="8"/>
      <c r="L640" s="8" t="str">
        <f>IFERROR(__xludf.DUMMYFUNCTION("""COMPUTED_VALUE"""),"multiple")</f>
        <v>multiple</v>
      </c>
      <c r="M640" s="8">
        <f>IFERROR(__xludf.DUMMYFUNCTION("""COMPUTED_VALUE"""),0.0)</f>
        <v>0</v>
      </c>
      <c r="N640" s="8">
        <f>IFERROR(__xludf.DUMMYFUNCTION("""COMPUTED_VALUE"""),70.0)</f>
        <v>70</v>
      </c>
      <c r="O640" s="8"/>
      <c r="P640" s="8"/>
      <c r="Q640" s="8"/>
      <c r="R640" s="8"/>
      <c r="S640" s="8"/>
      <c r="T640" s="8"/>
      <c r="U640" s="8"/>
      <c r="V640" s="8"/>
      <c r="W640" s="8"/>
      <c r="X640" s="8"/>
      <c r="Y640" s="8"/>
      <c r="Z640" s="8"/>
    </row>
    <row r="641">
      <c r="A641" s="8">
        <f>IFERROR(__xludf.DUMMYFUNCTION("""COMPUTED_VALUE"""),1051.0)</f>
        <v>1051</v>
      </c>
      <c r="B641" s="8" t="str">
        <f>IFERROR(__xludf.DUMMYFUNCTION("""COMPUTED_VALUE"""),"tree")</f>
        <v>tree</v>
      </c>
      <c r="C641" s="8" t="str">
        <f>IFERROR(__xludf.DUMMYFUNCTION("""COMPUTED_VALUE"""),"graft")</f>
        <v>graft</v>
      </c>
      <c r="D641" s="55" t="str">
        <f>IFERROR(__xludf.DUMMYFUNCTION("""COMPUTED_VALUE"""),"Annona muricata")</f>
        <v>Annona muricata</v>
      </c>
      <c r="E641" s="8" t="str">
        <f>IFERROR(__xludf.DUMMYFUNCTION("""COMPUTED_VALUE"""),"Golden")</f>
        <v>Golden</v>
      </c>
      <c r="F641" s="8" t="str">
        <f>IFERROR(__xludf.DUMMYFUNCTION("""COMPUTED_VALUE"""),"Soursop")</f>
        <v>Soursop</v>
      </c>
      <c r="G641" s="8" t="str">
        <f>IFERROR(__xludf.DUMMYFUNCTION("""COMPUTED_VALUE"""),"Corossol")</f>
        <v>Corossol</v>
      </c>
      <c r="H641" s="8" t="str">
        <f>IFERROR(__xludf.DUMMYFUNCTION("""COMPUTED_VALUE"""),"seed")</f>
        <v>seed</v>
      </c>
      <c r="I641" s="8"/>
      <c r="J641" s="8"/>
      <c r="K641" s="8"/>
      <c r="L641" s="8" t="str">
        <f>IFERROR(__xludf.DUMMYFUNCTION("""COMPUTED_VALUE"""),"multiple")</f>
        <v>multiple</v>
      </c>
      <c r="M641" s="8">
        <f>IFERROR(__xludf.DUMMYFUNCTION("""COMPUTED_VALUE"""),0.0)</f>
        <v>0</v>
      </c>
      <c r="N641" s="8">
        <f>IFERROR(__xludf.DUMMYFUNCTION("""COMPUTED_VALUE"""),70.0)</f>
        <v>70</v>
      </c>
      <c r="O641" s="8"/>
      <c r="P641" s="8"/>
      <c r="Q641" s="8"/>
      <c r="R641" s="8"/>
      <c r="S641" s="8"/>
      <c r="T641" s="8"/>
      <c r="U641" s="8"/>
      <c r="V641" s="8"/>
      <c r="W641" s="8"/>
      <c r="X641" s="8"/>
      <c r="Y641" s="8"/>
      <c r="Z641" s="8"/>
    </row>
    <row r="642">
      <c r="A642" s="8">
        <f>IFERROR(__xludf.DUMMYFUNCTION("""COMPUTED_VALUE"""),1052.0)</f>
        <v>1052</v>
      </c>
      <c r="B642" s="8" t="str">
        <f>IFERROR(__xludf.DUMMYFUNCTION("""COMPUTED_VALUE"""),"tree")</f>
        <v>tree</v>
      </c>
      <c r="C642" s="8" t="str">
        <f>IFERROR(__xludf.DUMMYFUNCTION("""COMPUTED_VALUE"""),"graft")</f>
        <v>graft</v>
      </c>
      <c r="D642" s="55" t="str">
        <f>IFERROR(__xludf.DUMMYFUNCTION("""COMPUTED_VALUE"""),"Annona muricata")</f>
        <v>Annona muricata</v>
      </c>
      <c r="E642" s="8" t="str">
        <f>IFERROR(__xludf.DUMMYFUNCTION("""COMPUTED_VALUE"""),"Golden")</f>
        <v>Golden</v>
      </c>
      <c r="F642" s="8" t="str">
        <f>IFERROR(__xludf.DUMMYFUNCTION("""COMPUTED_VALUE"""),"Soursop")</f>
        <v>Soursop</v>
      </c>
      <c r="G642" s="8" t="str">
        <f>IFERROR(__xludf.DUMMYFUNCTION("""COMPUTED_VALUE"""),"Corossol")</f>
        <v>Corossol</v>
      </c>
      <c r="H642" s="8" t="str">
        <f>IFERROR(__xludf.DUMMYFUNCTION("""COMPUTED_VALUE"""),"seed")</f>
        <v>seed</v>
      </c>
      <c r="I642" s="8"/>
      <c r="J642" s="8"/>
      <c r="K642" s="8"/>
      <c r="L642" s="8" t="str">
        <f>IFERROR(__xludf.DUMMYFUNCTION("""COMPUTED_VALUE"""),"multiple")</f>
        <v>multiple</v>
      </c>
      <c r="M642" s="8">
        <f>IFERROR(__xludf.DUMMYFUNCTION("""COMPUTED_VALUE"""),0.0)</f>
        <v>0</v>
      </c>
      <c r="N642" s="8">
        <f>IFERROR(__xludf.DUMMYFUNCTION("""COMPUTED_VALUE"""),70.0)</f>
        <v>70</v>
      </c>
      <c r="O642" s="8"/>
      <c r="P642" s="8"/>
      <c r="Q642" s="8"/>
      <c r="R642" s="8"/>
      <c r="S642" s="8"/>
      <c r="T642" s="8"/>
      <c r="U642" s="8"/>
      <c r="V642" s="8"/>
      <c r="W642" s="8"/>
      <c r="X642" s="8"/>
      <c r="Y642" s="8"/>
      <c r="Z642" s="8"/>
    </row>
    <row r="643">
      <c r="A643" s="8">
        <f>IFERROR(__xludf.DUMMYFUNCTION("""COMPUTED_VALUE"""),1053.0)</f>
        <v>1053</v>
      </c>
      <c r="B643" s="8" t="str">
        <f>IFERROR(__xludf.DUMMYFUNCTION("""COMPUTED_VALUE"""),"tree")</f>
        <v>tree</v>
      </c>
      <c r="C643" s="8" t="str">
        <f>IFERROR(__xludf.DUMMYFUNCTION("""COMPUTED_VALUE"""),"graft")</f>
        <v>graft</v>
      </c>
      <c r="D643" s="55" t="str">
        <f>IFERROR(__xludf.DUMMYFUNCTION("""COMPUTED_VALUE"""),"Annona muricata")</f>
        <v>Annona muricata</v>
      </c>
      <c r="E643" s="8" t="str">
        <f>IFERROR(__xludf.DUMMYFUNCTION("""COMPUTED_VALUE"""),"Golden")</f>
        <v>Golden</v>
      </c>
      <c r="F643" s="8" t="str">
        <f>IFERROR(__xludf.DUMMYFUNCTION("""COMPUTED_VALUE"""),"Soursop")</f>
        <v>Soursop</v>
      </c>
      <c r="G643" s="8" t="str">
        <f>IFERROR(__xludf.DUMMYFUNCTION("""COMPUTED_VALUE"""),"Corossol")</f>
        <v>Corossol</v>
      </c>
      <c r="H643" s="8" t="str">
        <f>IFERROR(__xludf.DUMMYFUNCTION("""COMPUTED_VALUE"""),"seed")</f>
        <v>seed</v>
      </c>
      <c r="I643" s="8"/>
      <c r="J643" s="8"/>
      <c r="K643" s="8"/>
      <c r="L643" s="8" t="str">
        <f>IFERROR(__xludf.DUMMYFUNCTION("""COMPUTED_VALUE"""),"multiple")</f>
        <v>multiple</v>
      </c>
      <c r="M643" s="8">
        <f>IFERROR(__xludf.DUMMYFUNCTION("""COMPUTED_VALUE"""),0.0)</f>
        <v>0</v>
      </c>
      <c r="N643" s="8">
        <f>IFERROR(__xludf.DUMMYFUNCTION("""COMPUTED_VALUE"""),70.0)</f>
        <v>70</v>
      </c>
      <c r="O643" s="8"/>
      <c r="P643" s="8"/>
      <c r="Q643" s="8"/>
      <c r="R643" s="8"/>
      <c r="S643" s="8"/>
      <c r="T643" s="8"/>
      <c r="U643" s="8"/>
      <c r="V643" s="8"/>
      <c r="W643" s="8"/>
      <c r="X643" s="8"/>
      <c r="Y643" s="8"/>
      <c r="Z643" s="8"/>
    </row>
    <row r="644">
      <c r="A644" s="8">
        <f>IFERROR(__xludf.DUMMYFUNCTION("""COMPUTED_VALUE"""),1054.0)</f>
        <v>1054</v>
      </c>
      <c r="B644" s="8" t="str">
        <f>IFERROR(__xludf.DUMMYFUNCTION("""COMPUTED_VALUE"""),"tree")</f>
        <v>tree</v>
      </c>
      <c r="C644" s="8" t="str">
        <f>IFERROR(__xludf.DUMMYFUNCTION("""COMPUTED_VALUE"""),"graft")</f>
        <v>graft</v>
      </c>
      <c r="D644" s="55" t="str">
        <f>IFERROR(__xludf.DUMMYFUNCTION("""COMPUTED_VALUE"""),"Annona muricata")</f>
        <v>Annona muricata</v>
      </c>
      <c r="E644" s="8" t="str">
        <f>IFERROR(__xludf.DUMMYFUNCTION("""COMPUTED_VALUE"""),"Golden")</f>
        <v>Golden</v>
      </c>
      <c r="F644" s="8" t="str">
        <f>IFERROR(__xludf.DUMMYFUNCTION("""COMPUTED_VALUE"""),"Soursop")</f>
        <v>Soursop</v>
      </c>
      <c r="G644" s="8" t="str">
        <f>IFERROR(__xludf.DUMMYFUNCTION("""COMPUTED_VALUE"""),"Corossol")</f>
        <v>Corossol</v>
      </c>
      <c r="H644" s="8" t="str">
        <f>IFERROR(__xludf.DUMMYFUNCTION("""COMPUTED_VALUE"""),"seed")</f>
        <v>seed</v>
      </c>
      <c r="I644" s="8"/>
      <c r="J644" s="8"/>
      <c r="K644" s="8"/>
      <c r="L644" s="8" t="str">
        <f>IFERROR(__xludf.DUMMYFUNCTION("""COMPUTED_VALUE"""),"multiple")</f>
        <v>multiple</v>
      </c>
      <c r="M644" s="8">
        <f>IFERROR(__xludf.DUMMYFUNCTION("""COMPUTED_VALUE"""),0.0)</f>
        <v>0</v>
      </c>
      <c r="N644" s="8">
        <f>IFERROR(__xludf.DUMMYFUNCTION("""COMPUTED_VALUE"""),70.0)</f>
        <v>70</v>
      </c>
      <c r="O644" s="8"/>
      <c r="P644" s="8"/>
      <c r="Q644" s="8"/>
      <c r="R644" s="8"/>
      <c r="S644" s="8"/>
      <c r="T644" s="8"/>
      <c r="U644" s="8"/>
      <c r="V644" s="8"/>
      <c r="W644" s="8"/>
      <c r="X644" s="8"/>
      <c r="Y644" s="8"/>
      <c r="Z644" s="8"/>
    </row>
    <row r="645">
      <c r="A645" s="8">
        <f>IFERROR(__xludf.DUMMYFUNCTION("""COMPUTED_VALUE"""),1055.0)</f>
        <v>1055</v>
      </c>
      <c r="B645" s="8" t="str">
        <f>IFERROR(__xludf.DUMMYFUNCTION("""COMPUTED_VALUE"""),"tree")</f>
        <v>tree</v>
      </c>
      <c r="C645" s="8" t="str">
        <f>IFERROR(__xludf.DUMMYFUNCTION("""COMPUTED_VALUE"""),"graft")</f>
        <v>graft</v>
      </c>
      <c r="D645" s="55" t="str">
        <f>IFERROR(__xludf.DUMMYFUNCTION("""COMPUTED_VALUE"""),"Annona muricata")</f>
        <v>Annona muricata</v>
      </c>
      <c r="E645" s="8" t="str">
        <f>IFERROR(__xludf.DUMMYFUNCTION("""COMPUTED_VALUE"""),"Golden")</f>
        <v>Golden</v>
      </c>
      <c r="F645" s="8" t="str">
        <f>IFERROR(__xludf.DUMMYFUNCTION("""COMPUTED_VALUE"""),"Soursop")</f>
        <v>Soursop</v>
      </c>
      <c r="G645" s="8" t="str">
        <f>IFERROR(__xludf.DUMMYFUNCTION("""COMPUTED_VALUE"""),"Corossol")</f>
        <v>Corossol</v>
      </c>
      <c r="H645" s="8" t="str">
        <f>IFERROR(__xludf.DUMMYFUNCTION("""COMPUTED_VALUE"""),"seed")</f>
        <v>seed</v>
      </c>
      <c r="I645" s="8"/>
      <c r="J645" s="8"/>
      <c r="K645" s="8"/>
      <c r="L645" s="8" t="str">
        <f>IFERROR(__xludf.DUMMYFUNCTION("""COMPUTED_VALUE"""),"multiple")</f>
        <v>multiple</v>
      </c>
      <c r="M645" s="8">
        <f>IFERROR(__xludf.DUMMYFUNCTION("""COMPUTED_VALUE"""),0.0)</f>
        <v>0</v>
      </c>
      <c r="N645" s="8">
        <f>IFERROR(__xludf.DUMMYFUNCTION("""COMPUTED_VALUE"""),70.0)</f>
        <v>70</v>
      </c>
      <c r="O645" s="8"/>
      <c r="P645" s="8"/>
      <c r="Q645" s="8"/>
      <c r="R645" s="8"/>
      <c r="S645" s="8"/>
      <c r="T645" s="8"/>
      <c r="U645" s="8"/>
      <c r="V645" s="8"/>
      <c r="W645" s="8"/>
      <c r="X645" s="8"/>
      <c r="Y645" s="8"/>
      <c r="Z645" s="8"/>
    </row>
    <row r="646">
      <c r="A646" s="8">
        <f>IFERROR(__xludf.DUMMYFUNCTION("""COMPUTED_VALUE"""),1056.0)</f>
        <v>1056</v>
      </c>
      <c r="B646" s="8" t="str">
        <f>IFERROR(__xludf.DUMMYFUNCTION("""COMPUTED_VALUE"""),"tree")</f>
        <v>tree</v>
      </c>
      <c r="C646" s="8" t="str">
        <f>IFERROR(__xludf.DUMMYFUNCTION("""COMPUTED_VALUE"""),"graft")</f>
        <v>graft</v>
      </c>
      <c r="D646" s="55" t="str">
        <f>IFERROR(__xludf.DUMMYFUNCTION("""COMPUTED_VALUE"""),"Annona muricata")</f>
        <v>Annona muricata</v>
      </c>
      <c r="E646" s="8" t="str">
        <f>IFERROR(__xludf.DUMMYFUNCTION("""COMPUTED_VALUE"""),"Golden")</f>
        <v>Golden</v>
      </c>
      <c r="F646" s="8" t="str">
        <f>IFERROR(__xludf.DUMMYFUNCTION("""COMPUTED_VALUE"""),"Soursop")</f>
        <v>Soursop</v>
      </c>
      <c r="G646" s="8" t="str">
        <f>IFERROR(__xludf.DUMMYFUNCTION("""COMPUTED_VALUE"""),"Corossol")</f>
        <v>Corossol</v>
      </c>
      <c r="H646" s="8" t="str">
        <f>IFERROR(__xludf.DUMMYFUNCTION("""COMPUTED_VALUE"""),"seed")</f>
        <v>seed</v>
      </c>
      <c r="I646" s="8"/>
      <c r="J646" s="8"/>
      <c r="K646" s="8"/>
      <c r="L646" s="8" t="str">
        <f>IFERROR(__xludf.DUMMYFUNCTION("""COMPUTED_VALUE"""),"multiple")</f>
        <v>multiple</v>
      </c>
      <c r="M646" s="8">
        <f>IFERROR(__xludf.DUMMYFUNCTION("""COMPUTED_VALUE"""),0.0)</f>
        <v>0</v>
      </c>
      <c r="N646" s="8">
        <f>IFERROR(__xludf.DUMMYFUNCTION("""COMPUTED_VALUE"""),70.0)</f>
        <v>70</v>
      </c>
      <c r="O646" s="8"/>
      <c r="P646" s="8"/>
      <c r="Q646" s="8"/>
      <c r="R646" s="8"/>
      <c r="S646" s="8"/>
      <c r="T646" s="8"/>
      <c r="U646" s="8"/>
      <c r="V646" s="8"/>
      <c r="W646" s="8"/>
      <c r="X646" s="8"/>
      <c r="Y646" s="8"/>
      <c r="Z646" s="8"/>
    </row>
    <row r="647">
      <c r="A647" s="8">
        <f>IFERROR(__xludf.DUMMYFUNCTION("""COMPUTED_VALUE"""),1057.0)</f>
        <v>1057</v>
      </c>
      <c r="B647" s="8" t="str">
        <f>IFERROR(__xludf.DUMMYFUNCTION("""COMPUTED_VALUE"""),"tree")</f>
        <v>tree</v>
      </c>
      <c r="C647" s="8" t="str">
        <f>IFERROR(__xludf.DUMMYFUNCTION("""COMPUTED_VALUE"""),"graft")</f>
        <v>graft</v>
      </c>
      <c r="D647" s="55" t="str">
        <f>IFERROR(__xludf.DUMMYFUNCTION("""COMPUTED_VALUE"""),"Annona muricata")</f>
        <v>Annona muricata</v>
      </c>
      <c r="E647" s="8" t="str">
        <f>IFERROR(__xludf.DUMMYFUNCTION("""COMPUTED_VALUE"""),"Golden")</f>
        <v>Golden</v>
      </c>
      <c r="F647" s="8" t="str">
        <f>IFERROR(__xludf.DUMMYFUNCTION("""COMPUTED_VALUE"""),"Soursop")</f>
        <v>Soursop</v>
      </c>
      <c r="G647" s="8" t="str">
        <f>IFERROR(__xludf.DUMMYFUNCTION("""COMPUTED_VALUE"""),"Corossol")</f>
        <v>Corossol</v>
      </c>
      <c r="H647" s="8" t="str">
        <f>IFERROR(__xludf.DUMMYFUNCTION("""COMPUTED_VALUE"""),"seed")</f>
        <v>seed</v>
      </c>
      <c r="I647" s="8"/>
      <c r="J647" s="8"/>
      <c r="K647" s="8"/>
      <c r="L647" s="8" t="str">
        <f>IFERROR(__xludf.DUMMYFUNCTION("""COMPUTED_VALUE"""),"multiple")</f>
        <v>multiple</v>
      </c>
      <c r="M647" s="8">
        <f>IFERROR(__xludf.DUMMYFUNCTION("""COMPUTED_VALUE"""),0.0)</f>
        <v>0</v>
      </c>
      <c r="N647" s="8">
        <f>IFERROR(__xludf.DUMMYFUNCTION("""COMPUTED_VALUE"""),70.0)</f>
        <v>70</v>
      </c>
      <c r="O647" s="8"/>
      <c r="P647" s="8"/>
      <c r="Q647" s="8"/>
      <c r="R647" s="8"/>
      <c r="S647" s="8"/>
      <c r="T647" s="8"/>
      <c r="U647" s="8"/>
      <c r="V647" s="8"/>
      <c r="W647" s="8"/>
      <c r="X647" s="8"/>
      <c r="Y647" s="8"/>
      <c r="Z647" s="8"/>
    </row>
    <row r="648">
      <c r="A648" s="8">
        <f>IFERROR(__xludf.DUMMYFUNCTION("""COMPUTED_VALUE"""),1058.0)</f>
        <v>1058</v>
      </c>
      <c r="B648" s="8" t="str">
        <f>IFERROR(__xludf.DUMMYFUNCTION("""COMPUTED_VALUE"""),"tree")</f>
        <v>tree</v>
      </c>
      <c r="C648" s="8" t="str">
        <f>IFERROR(__xludf.DUMMYFUNCTION("""COMPUTED_VALUE"""),"graft")</f>
        <v>graft</v>
      </c>
      <c r="D648" s="55" t="str">
        <f>IFERROR(__xludf.DUMMYFUNCTION("""COMPUTED_VALUE"""),"Annona muricata")</f>
        <v>Annona muricata</v>
      </c>
      <c r="E648" s="8" t="str">
        <f>IFERROR(__xludf.DUMMYFUNCTION("""COMPUTED_VALUE"""),"Golden")</f>
        <v>Golden</v>
      </c>
      <c r="F648" s="8" t="str">
        <f>IFERROR(__xludf.DUMMYFUNCTION("""COMPUTED_VALUE"""),"Soursop")</f>
        <v>Soursop</v>
      </c>
      <c r="G648" s="8" t="str">
        <f>IFERROR(__xludf.DUMMYFUNCTION("""COMPUTED_VALUE"""),"Corossol")</f>
        <v>Corossol</v>
      </c>
      <c r="H648" s="8" t="str">
        <f>IFERROR(__xludf.DUMMYFUNCTION("""COMPUTED_VALUE"""),"seed")</f>
        <v>seed</v>
      </c>
      <c r="I648" s="8"/>
      <c r="J648" s="8"/>
      <c r="K648" s="8"/>
      <c r="L648" s="8" t="str">
        <f>IFERROR(__xludf.DUMMYFUNCTION("""COMPUTED_VALUE"""),"multiple")</f>
        <v>multiple</v>
      </c>
      <c r="M648" s="8">
        <f>IFERROR(__xludf.DUMMYFUNCTION("""COMPUTED_VALUE"""),0.0)</f>
        <v>0</v>
      </c>
      <c r="N648" s="8">
        <f>IFERROR(__xludf.DUMMYFUNCTION("""COMPUTED_VALUE"""),70.0)</f>
        <v>70</v>
      </c>
      <c r="O648" s="8"/>
      <c r="P648" s="8"/>
      <c r="Q648" s="8"/>
      <c r="R648" s="8"/>
      <c r="S648" s="8"/>
      <c r="T648" s="8"/>
      <c r="U648" s="8"/>
      <c r="V648" s="8"/>
      <c r="W648" s="8"/>
      <c r="X648" s="8"/>
      <c r="Y648" s="8"/>
      <c r="Z648" s="8"/>
    </row>
    <row r="649">
      <c r="A649" s="8">
        <f>IFERROR(__xludf.DUMMYFUNCTION("""COMPUTED_VALUE"""),1059.0)</f>
        <v>1059</v>
      </c>
      <c r="B649" s="8" t="str">
        <f>IFERROR(__xludf.DUMMYFUNCTION("""COMPUTED_VALUE"""),"tree")</f>
        <v>tree</v>
      </c>
      <c r="C649" s="8" t="str">
        <f>IFERROR(__xludf.DUMMYFUNCTION("""COMPUTED_VALUE"""),"graft")</f>
        <v>graft</v>
      </c>
      <c r="D649" s="55" t="str">
        <f>IFERROR(__xludf.DUMMYFUNCTION("""COMPUTED_VALUE"""),"Annona muricata")</f>
        <v>Annona muricata</v>
      </c>
      <c r="E649" s="8" t="str">
        <f>IFERROR(__xludf.DUMMYFUNCTION("""COMPUTED_VALUE"""),"Golden")</f>
        <v>Golden</v>
      </c>
      <c r="F649" s="8" t="str">
        <f>IFERROR(__xludf.DUMMYFUNCTION("""COMPUTED_VALUE"""),"Soursop")</f>
        <v>Soursop</v>
      </c>
      <c r="G649" s="8" t="str">
        <f>IFERROR(__xludf.DUMMYFUNCTION("""COMPUTED_VALUE"""),"Corossol")</f>
        <v>Corossol</v>
      </c>
      <c r="H649" s="8" t="str">
        <f>IFERROR(__xludf.DUMMYFUNCTION("""COMPUTED_VALUE"""),"seed")</f>
        <v>seed</v>
      </c>
      <c r="I649" s="8"/>
      <c r="J649" s="8"/>
      <c r="K649" s="8"/>
      <c r="L649" s="8" t="str">
        <f>IFERROR(__xludf.DUMMYFUNCTION("""COMPUTED_VALUE"""),"multiple")</f>
        <v>multiple</v>
      </c>
      <c r="M649" s="8">
        <f>IFERROR(__xludf.DUMMYFUNCTION("""COMPUTED_VALUE"""),0.0)</f>
        <v>0</v>
      </c>
      <c r="N649" s="8">
        <f>IFERROR(__xludf.DUMMYFUNCTION("""COMPUTED_VALUE"""),70.0)</f>
        <v>70</v>
      </c>
      <c r="O649" s="8"/>
      <c r="P649" s="8"/>
      <c r="Q649" s="8"/>
      <c r="R649" s="8"/>
      <c r="S649" s="8"/>
      <c r="T649" s="8"/>
      <c r="U649" s="8"/>
      <c r="V649" s="8"/>
      <c r="W649" s="8"/>
      <c r="X649" s="8"/>
      <c r="Y649" s="8"/>
      <c r="Z649" s="8"/>
    </row>
    <row r="650">
      <c r="A650" s="8">
        <f>IFERROR(__xludf.DUMMYFUNCTION("""COMPUTED_VALUE"""),1060.0)</f>
        <v>1060</v>
      </c>
      <c r="B650" s="8" t="str">
        <f>IFERROR(__xludf.DUMMYFUNCTION("""COMPUTED_VALUE"""),"tree")</f>
        <v>tree</v>
      </c>
      <c r="C650" s="8" t="str">
        <f>IFERROR(__xludf.DUMMYFUNCTION("""COMPUTED_VALUE"""),"graft")</f>
        <v>graft</v>
      </c>
      <c r="D650" s="55" t="str">
        <f>IFERROR(__xludf.DUMMYFUNCTION("""COMPUTED_VALUE"""),"Annona muricata")</f>
        <v>Annona muricata</v>
      </c>
      <c r="E650" s="8" t="str">
        <f>IFERROR(__xludf.DUMMYFUNCTION("""COMPUTED_VALUE"""),"Golden")</f>
        <v>Golden</v>
      </c>
      <c r="F650" s="8" t="str">
        <f>IFERROR(__xludf.DUMMYFUNCTION("""COMPUTED_VALUE"""),"Soursop")</f>
        <v>Soursop</v>
      </c>
      <c r="G650" s="8" t="str">
        <f>IFERROR(__xludf.DUMMYFUNCTION("""COMPUTED_VALUE"""),"Corossol")</f>
        <v>Corossol</v>
      </c>
      <c r="H650" s="8" t="str">
        <f>IFERROR(__xludf.DUMMYFUNCTION("""COMPUTED_VALUE"""),"seed")</f>
        <v>seed</v>
      </c>
      <c r="I650" s="8"/>
      <c r="J650" s="8"/>
      <c r="K650" s="8"/>
      <c r="L650" s="8" t="str">
        <f>IFERROR(__xludf.DUMMYFUNCTION("""COMPUTED_VALUE"""),"multiple")</f>
        <v>multiple</v>
      </c>
      <c r="M650" s="8">
        <f>IFERROR(__xludf.DUMMYFUNCTION("""COMPUTED_VALUE"""),0.0)</f>
        <v>0</v>
      </c>
      <c r="N650" s="8">
        <f>IFERROR(__xludf.DUMMYFUNCTION("""COMPUTED_VALUE"""),70.0)</f>
        <v>70</v>
      </c>
      <c r="O650" s="8"/>
      <c r="P650" s="8"/>
      <c r="Q650" s="8"/>
      <c r="R650" s="8"/>
      <c r="S650" s="8"/>
      <c r="T650" s="8"/>
      <c r="U650" s="8"/>
      <c r="V650" s="8"/>
      <c r="W650" s="8"/>
      <c r="X650" s="8"/>
      <c r="Y650" s="8"/>
      <c r="Z650" s="8"/>
    </row>
    <row r="651">
      <c r="A651" s="8">
        <f>IFERROR(__xludf.DUMMYFUNCTION("""COMPUTED_VALUE"""),1061.0)</f>
        <v>1061</v>
      </c>
      <c r="B651" s="8" t="str">
        <f>IFERROR(__xludf.DUMMYFUNCTION("""COMPUTED_VALUE"""),"tree")</f>
        <v>tree</v>
      </c>
      <c r="C651" s="8" t="str">
        <f>IFERROR(__xludf.DUMMYFUNCTION("""COMPUTED_VALUE"""),"graft")</f>
        <v>graft</v>
      </c>
      <c r="D651" s="55" t="str">
        <f>IFERROR(__xludf.DUMMYFUNCTION("""COMPUTED_VALUE"""),"Annona muricata")</f>
        <v>Annona muricata</v>
      </c>
      <c r="E651" s="8" t="str">
        <f>IFERROR(__xludf.DUMMYFUNCTION("""COMPUTED_VALUE"""),"Golden")</f>
        <v>Golden</v>
      </c>
      <c r="F651" s="8" t="str">
        <f>IFERROR(__xludf.DUMMYFUNCTION("""COMPUTED_VALUE"""),"Soursop")</f>
        <v>Soursop</v>
      </c>
      <c r="G651" s="8" t="str">
        <f>IFERROR(__xludf.DUMMYFUNCTION("""COMPUTED_VALUE"""),"Corossol")</f>
        <v>Corossol</v>
      </c>
      <c r="H651" s="8" t="str">
        <f>IFERROR(__xludf.DUMMYFUNCTION("""COMPUTED_VALUE"""),"seed")</f>
        <v>seed</v>
      </c>
      <c r="I651" s="8"/>
      <c r="J651" s="8"/>
      <c r="K651" s="8"/>
      <c r="L651" s="8" t="str">
        <f>IFERROR(__xludf.DUMMYFUNCTION("""COMPUTED_VALUE"""),"multiple")</f>
        <v>multiple</v>
      </c>
      <c r="M651" s="8">
        <f>IFERROR(__xludf.DUMMYFUNCTION("""COMPUTED_VALUE"""),0.0)</f>
        <v>0</v>
      </c>
      <c r="N651" s="8">
        <f>IFERROR(__xludf.DUMMYFUNCTION("""COMPUTED_VALUE"""),70.0)</f>
        <v>70</v>
      </c>
      <c r="O651" s="8"/>
      <c r="P651" s="8"/>
      <c r="Q651" s="8"/>
      <c r="R651" s="8"/>
      <c r="S651" s="8"/>
      <c r="T651" s="8"/>
      <c r="U651" s="8"/>
      <c r="V651" s="8"/>
      <c r="W651" s="8"/>
      <c r="X651" s="8"/>
      <c r="Y651" s="8"/>
      <c r="Z651" s="8"/>
    </row>
    <row r="652">
      <c r="A652" s="8">
        <f>IFERROR(__xludf.DUMMYFUNCTION("""COMPUTED_VALUE"""),1062.0)</f>
        <v>1062</v>
      </c>
      <c r="B652" s="8" t="str">
        <f>IFERROR(__xludf.DUMMYFUNCTION("""COMPUTED_VALUE"""),"tree")</f>
        <v>tree</v>
      </c>
      <c r="C652" s="8" t="str">
        <f>IFERROR(__xludf.DUMMYFUNCTION("""COMPUTED_VALUE"""),"graft")</f>
        <v>graft</v>
      </c>
      <c r="D652" s="55" t="str">
        <f>IFERROR(__xludf.DUMMYFUNCTION("""COMPUTED_VALUE"""),"Annona muricata")</f>
        <v>Annona muricata</v>
      </c>
      <c r="E652" s="8" t="str">
        <f>IFERROR(__xludf.DUMMYFUNCTION("""COMPUTED_VALUE"""),"Golden")</f>
        <v>Golden</v>
      </c>
      <c r="F652" s="8" t="str">
        <f>IFERROR(__xludf.DUMMYFUNCTION("""COMPUTED_VALUE"""),"Soursop")</f>
        <v>Soursop</v>
      </c>
      <c r="G652" s="8" t="str">
        <f>IFERROR(__xludf.DUMMYFUNCTION("""COMPUTED_VALUE"""),"Corossol")</f>
        <v>Corossol</v>
      </c>
      <c r="H652" s="8" t="str">
        <f>IFERROR(__xludf.DUMMYFUNCTION("""COMPUTED_VALUE"""),"seed")</f>
        <v>seed</v>
      </c>
      <c r="I652" s="8"/>
      <c r="J652" s="8"/>
      <c r="K652" s="8"/>
      <c r="L652" s="8" t="str">
        <f>IFERROR(__xludf.DUMMYFUNCTION("""COMPUTED_VALUE"""),"multiple")</f>
        <v>multiple</v>
      </c>
      <c r="M652" s="8">
        <f>IFERROR(__xludf.DUMMYFUNCTION("""COMPUTED_VALUE"""),0.0)</f>
        <v>0</v>
      </c>
      <c r="N652" s="8">
        <f>IFERROR(__xludf.DUMMYFUNCTION("""COMPUTED_VALUE"""),70.0)</f>
        <v>70</v>
      </c>
      <c r="O652" s="8"/>
      <c r="P652" s="8"/>
      <c r="Q652" s="8"/>
      <c r="R652" s="8"/>
      <c r="S652" s="8"/>
      <c r="T652" s="8"/>
      <c r="U652" s="8"/>
      <c r="V652" s="8"/>
      <c r="W652" s="8"/>
      <c r="X652" s="8"/>
      <c r="Y652" s="8"/>
      <c r="Z652" s="8"/>
    </row>
    <row r="653">
      <c r="A653" s="8">
        <f>IFERROR(__xludf.DUMMYFUNCTION("""COMPUTED_VALUE"""),1063.0)</f>
        <v>1063</v>
      </c>
      <c r="B653" s="8" t="str">
        <f>IFERROR(__xludf.DUMMYFUNCTION("""COMPUTED_VALUE"""),"tree")</f>
        <v>tree</v>
      </c>
      <c r="C653" s="8" t="str">
        <f>IFERROR(__xludf.DUMMYFUNCTION("""COMPUTED_VALUE"""),"graft")</f>
        <v>graft</v>
      </c>
      <c r="D653" s="55" t="str">
        <f>IFERROR(__xludf.DUMMYFUNCTION("""COMPUTED_VALUE"""),"Annona muricata")</f>
        <v>Annona muricata</v>
      </c>
      <c r="E653" s="8" t="str">
        <f>IFERROR(__xludf.DUMMYFUNCTION("""COMPUTED_VALUE"""),"Golden")</f>
        <v>Golden</v>
      </c>
      <c r="F653" s="8" t="str">
        <f>IFERROR(__xludf.DUMMYFUNCTION("""COMPUTED_VALUE"""),"Soursop")</f>
        <v>Soursop</v>
      </c>
      <c r="G653" s="8" t="str">
        <f>IFERROR(__xludf.DUMMYFUNCTION("""COMPUTED_VALUE"""),"Corossol")</f>
        <v>Corossol</v>
      </c>
      <c r="H653" s="8" t="str">
        <f>IFERROR(__xludf.DUMMYFUNCTION("""COMPUTED_VALUE"""),"seed")</f>
        <v>seed</v>
      </c>
      <c r="I653" s="8"/>
      <c r="J653" s="8"/>
      <c r="K653" s="8"/>
      <c r="L653" s="8" t="str">
        <f>IFERROR(__xludf.DUMMYFUNCTION("""COMPUTED_VALUE"""),"multiple")</f>
        <v>multiple</v>
      </c>
      <c r="M653" s="8">
        <f>IFERROR(__xludf.DUMMYFUNCTION("""COMPUTED_VALUE"""),0.0)</f>
        <v>0</v>
      </c>
      <c r="N653" s="8">
        <f>IFERROR(__xludf.DUMMYFUNCTION("""COMPUTED_VALUE"""),70.0)</f>
        <v>70</v>
      </c>
      <c r="O653" s="8"/>
      <c r="P653" s="8"/>
      <c r="Q653" s="8"/>
      <c r="R653" s="8"/>
      <c r="S653" s="8"/>
      <c r="T653" s="8"/>
      <c r="U653" s="8"/>
      <c r="V653" s="8"/>
      <c r="W653" s="8"/>
      <c r="X653" s="8"/>
      <c r="Y653" s="8"/>
      <c r="Z653" s="8"/>
    </row>
    <row r="654">
      <c r="A654" s="8">
        <f>IFERROR(__xludf.DUMMYFUNCTION("""COMPUTED_VALUE"""),1064.0)</f>
        <v>1064</v>
      </c>
      <c r="B654" s="8" t="str">
        <f>IFERROR(__xludf.DUMMYFUNCTION("""COMPUTED_VALUE"""),"tree")</f>
        <v>tree</v>
      </c>
      <c r="C654" s="8" t="str">
        <f>IFERROR(__xludf.DUMMYFUNCTION("""COMPUTED_VALUE"""),"graft")</f>
        <v>graft</v>
      </c>
      <c r="D654" s="55" t="str">
        <f>IFERROR(__xludf.DUMMYFUNCTION("""COMPUTED_VALUE"""),"Annona muricata")</f>
        <v>Annona muricata</v>
      </c>
      <c r="E654" s="8" t="str">
        <f>IFERROR(__xludf.DUMMYFUNCTION("""COMPUTED_VALUE"""),"Golden")</f>
        <v>Golden</v>
      </c>
      <c r="F654" s="8" t="str">
        <f>IFERROR(__xludf.DUMMYFUNCTION("""COMPUTED_VALUE"""),"Soursop")</f>
        <v>Soursop</v>
      </c>
      <c r="G654" s="8" t="str">
        <f>IFERROR(__xludf.DUMMYFUNCTION("""COMPUTED_VALUE"""),"Corossol")</f>
        <v>Corossol</v>
      </c>
      <c r="H654" s="8" t="str">
        <f>IFERROR(__xludf.DUMMYFUNCTION("""COMPUTED_VALUE"""),"seed")</f>
        <v>seed</v>
      </c>
      <c r="I654" s="8"/>
      <c r="J654" s="8"/>
      <c r="K654" s="8"/>
      <c r="L654" s="8" t="str">
        <f>IFERROR(__xludf.DUMMYFUNCTION("""COMPUTED_VALUE"""),"multiple")</f>
        <v>multiple</v>
      </c>
      <c r="M654" s="8">
        <f>IFERROR(__xludf.DUMMYFUNCTION("""COMPUTED_VALUE"""),0.0)</f>
        <v>0</v>
      </c>
      <c r="N654" s="8">
        <f>IFERROR(__xludf.DUMMYFUNCTION("""COMPUTED_VALUE"""),70.0)</f>
        <v>70</v>
      </c>
      <c r="O654" s="8"/>
      <c r="P654" s="8"/>
      <c r="Q654" s="8"/>
      <c r="R654" s="8"/>
      <c r="S654" s="8"/>
      <c r="T654" s="8"/>
      <c r="U654" s="8"/>
      <c r="V654" s="8"/>
      <c r="W654" s="8"/>
      <c r="X654" s="8"/>
      <c r="Y654" s="8"/>
      <c r="Z654" s="8"/>
    </row>
    <row r="655">
      <c r="A655" s="8">
        <f>IFERROR(__xludf.DUMMYFUNCTION("""COMPUTED_VALUE"""),1065.0)</f>
        <v>1065</v>
      </c>
      <c r="B655" s="8" t="str">
        <f>IFERROR(__xludf.DUMMYFUNCTION("""COMPUTED_VALUE"""),"tree")</f>
        <v>tree</v>
      </c>
      <c r="C655" s="8" t="str">
        <f>IFERROR(__xludf.DUMMYFUNCTION("""COMPUTED_VALUE"""),"graft")</f>
        <v>graft</v>
      </c>
      <c r="D655" s="55" t="str">
        <f>IFERROR(__xludf.DUMMYFUNCTION("""COMPUTED_VALUE"""),"Annona muricata")</f>
        <v>Annona muricata</v>
      </c>
      <c r="E655" s="8" t="str">
        <f>IFERROR(__xludf.DUMMYFUNCTION("""COMPUTED_VALUE"""),"Golden")</f>
        <v>Golden</v>
      </c>
      <c r="F655" s="8" t="str">
        <f>IFERROR(__xludf.DUMMYFUNCTION("""COMPUTED_VALUE"""),"Soursop")</f>
        <v>Soursop</v>
      </c>
      <c r="G655" s="8" t="str">
        <f>IFERROR(__xludf.DUMMYFUNCTION("""COMPUTED_VALUE"""),"Corossol")</f>
        <v>Corossol</v>
      </c>
      <c r="H655" s="8" t="str">
        <f>IFERROR(__xludf.DUMMYFUNCTION("""COMPUTED_VALUE"""),"seed")</f>
        <v>seed</v>
      </c>
      <c r="I655" s="8"/>
      <c r="J655" s="8"/>
      <c r="K655" s="8"/>
      <c r="L655" s="8" t="str">
        <f>IFERROR(__xludf.DUMMYFUNCTION("""COMPUTED_VALUE"""),"multiple")</f>
        <v>multiple</v>
      </c>
      <c r="M655" s="8">
        <f>IFERROR(__xludf.DUMMYFUNCTION("""COMPUTED_VALUE"""),0.0)</f>
        <v>0</v>
      </c>
      <c r="N655" s="8">
        <f>IFERROR(__xludf.DUMMYFUNCTION("""COMPUTED_VALUE"""),70.0)</f>
        <v>70</v>
      </c>
      <c r="O655" s="8"/>
      <c r="P655" s="8"/>
      <c r="Q655" s="8"/>
      <c r="R655" s="8"/>
      <c r="S655" s="8"/>
      <c r="T655" s="8"/>
      <c r="U655" s="8"/>
      <c r="V655" s="8"/>
      <c r="W655" s="8"/>
      <c r="X655" s="8"/>
      <c r="Y655" s="8"/>
      <c r="Z655" s="8"/>
    </row>
    <row r="656">
      <c r="A656" s="8">
        <f>IFERROR(__xludf.DUMMYFUNCTION("""COMPUTED_VALUE"""),1066.0)</f>
        <v>1066</v>
      </c>
      <c r="B656" s="8" t="str">
        <f>IFERROR(__xludf.DUMMYFUNCTION("""COMPUTED_VALUE"""),"tree")</f>
        <v>tree</v>
      </c>
      <c r="C656" s="8" t="str">
        <f>IFERROR(__xludf.DUMMYFUNCTION("""COMPUTED_VALUE"""),"graft")</f>
        <v>graft</v>
      </c>
      <c r="D656" s="55" t="str">
        <f>IFERROR(__xludf.DUMMYFUNCTION("""COMPUTED_VALUE"""),"Annona muricata")</f>
        <v>Annona muricata</v>
      </c>
      <c r="E656" s="8" t="str">
        <f>IFERROR(__xludf.DUMMYFUNCTION("""COMPUTED_VALUE"""),"Golden")</f>
        <v>Golden</v>
      </c>
      <c r="F656" s="8" t="str">
        <f>IFERROR(__xludf.DUMMYFUNCTION("""COMPUTED_VALUE"""),"Soursop")</f>
        <v>Soursop</v>
      </c>
      <c r="G656" s="8" t="str">
        <f>IFERROR(__xludf.DUMMYFUNCTION("""COMPUTED_VALUE"""),"Corossol")</f>
        <v>Corossol</v>
      </c>
      <c r="H656" s="8" t="str">
        <f>IFERROR(__xludf.DUMMYFUNCTION("""COMPUTED_VALUE"""),"seed")</f>
        <v>seed</v>
      </c>
      <c r="I656" s="8"/>
      <c r="J656" s="8"/>
      <c r="K656" s="8"/>
      <c r="L656" s="8" t="str">
        <f>IFERROR(__xludf.DUMMYFUNCTION("""COMPUTED_VALUE"""),"multiple")</f>
        <v>multiple</v>
      </c>
      <c r="M656" s="8">
        <f>IFERROR(__xludf.DUMMYFUNCTION("""COMPUTED_VALUE"""),0.0)</f>
        <v>0</v>
      </c>
      <c r="N656" s="8">
        <f>IFERROR(__xludf.DUMMYFUNCTION("""COMPUTED_VALUE"""),70.0)</f>
        <v>70</v>
      </c>
      <c r="O656" s="8"/>
      <c r="P656" s="8"/>
      <c r="Q656" s="8"/>
      <c r="R656" s="8"/>
      <c r="S656" s="8"/>
      <c r="T656" s="8"/>
      <c r="U656" s="8"/>
      <c r="V656" s="8"/>
      <c r="W656" s="8"/>
      <c r="X656" s="8"/>
      <c r="Y656" s="8"/>
      <c r="Z656" s="8"/>
    </row>
    <row r="657">
      <c r="A657" s="8">
        <f>IFERROR(__xludf.DUMMYFUNCTION("""COMPUTED_VALUE"""),1067.0)</f>
        <v>1067</v>
      </c>
      <c r="B657" s="8" t="str">
        <f>IFERROR(__xludf.DUMMYFUNCTION("""COMPUTED_VALUE"""),"tree")</f>
        <v>tree</v>
      </c>
      <c r="C657" s="8" t="str">
        <f>IFERROR(__xludf.DUMMYFUNCTION("""COMPUTED_VALUE"""),"graft")</f>
        <v>graft</v>
      </c>
      <c r="D657" s="55" t="str">
        <f>IFERROR(__xludf.DUMMYFUNCTION("""COMPUTED_VALUE"""),"Annona muricata")</f>
        <v>Annona muricata</v>
      </c>
      <c r="E657" s="8" t="str">
        <f>IFERROR(__xludf.DUMMYFUNCTION("""COMPUTED_VALUE"""),"Golden")</f>
        <v>Golden</v>
      </c>
      <c r="F657" s="8" t="str">
        <f>IFERROR(__xludf.DUMMYFUNCTION("""COMPUTED_VALUE"""),"Soursop")</f>
        <v>Soursop</v>
      </c>
      <c r="G657" s="8" t="str">
        <f>IFERROR(__xludf.DUMMYFUNCTION("""COMPUTED_VALUE"""),"Corossol")</f>
        <v>Corossol</v>
      </c>
      <c r="H657" s="8" t="str">
        <f>IFERROR(__xludf.DUMMYFUNCTION("""COMPUTED_VALUE"""),"seed")</f>
        <v>seed</v>
      </c>
      <c r="I657" s="8"/>
      <c r="J657" s="8"/>
      <c r="K657" s="8"/>
      <c r="L657" s="8" t="str">
        <f>IFERROR(__xludf.DUMMYFUNCTION("""COMPUTED_VALUE"""),"multiple")</f>
        <v>multiple</v>
      </c>
      <c r="M657" s="8">
        <f>IFERROR(__xludf.DUMMYFUNCTION("""COMPUTED_VALUE"""),0.0)</f>
        <v>0</v>
      </c>
      <c r="N657" s="8">
        <f>IFERROR(__xludf.DUMMYFUNCTION("""COMPUTED_VALUE"""),70.0)</f>
        <v>70</v>
      </c>
      <c r="O657" s="8"/>
      <c r="P657" s="8"/>
      <c r="Q657" s="8"/>
      <c r="R657" s="8"/>
      <c r="S657" s="8"/>
      <c r="T657" s="8"/>
      <c r="U657" s="8"/>
      <c r="V657" s="8"/>
      <c r="W657" s="8"/>
      <c r="X657" s="8"/>
      <c r="Y657" s="8"/>
      <c r="Z657" s="8"/>
    </row>
    <row r="658">
      <c r="A658" s="8">
        <f>IFERROR(__xludf.DUMMYFUNCTION("""COMPUTED_VALUE"""),1068.0)</f>
        <v>1068</v>
      </c>
      <c r="B658" s="8" t="str">
        <f>IFERROR(__xludf.DUMMYFUNCTION("""COMPUTED_VALUE"""),"tree")</f>
        <v>tree</v>
      </c>
      <c r="C658" s="8" t="str">
        <f>IFERROR(__xludf.DUMMYFUNCTION("""COMPUTED_VALUE"""),"graft")</f>
        <v>graft</v>
      </c>
      <c r="D658" s="55" t="str">
        <f>IFERROR(__xludf.DUMMYFUNCTION("""COMPUTED_VALUE"""),"Annona muricata")</f>
        <v>Annona muricata</v>
      </c>
      <c r="E658" s="8" t="str">
        <f>IFERROR(__xludf.DUMMYFUNCTION("""COMPUTED_VALUE"""),"Golden")</f>
        <v>Golden</v>
      </c>
      <c r="F658" s="8" t="str">
        <f>IFERROR(__xludf.DUMMYFUNCTION("""COMPUTED_VALUE"""),"Soursop")</f>
        <v>Soursop</v>
      </c>
      <c r="G658" s="8" t="str">
        <f>IFERROR(__xludf.DUMMYFUNCTION("""COMPUTED_VALUE"""),"Corossol")</f>
        <v>Corossol</v>
      </c>
      <c r="H658" s="8" t="str">
        <f>IFERROR(__xludf.DUMMYFUNCTION("""COMPUTED_VALUE"""),"seed")</f>
        <v>seed</v>
      </c>
      <c r="I658" s="8"/>
      <c r="J658" s="8"/>
      <c r="K658" s="8"/>
      <c r="L658" s="8" t="str">
        <f>IFERROR(__xludf.DUMMYFUNCTION("""COMPUTED_VALUE"""),"multiple")</f>
        <v>multiple</v>
      </c>
      <c r="M658" s="8">
        <f>IFERROR(__xludf.DUMMYFUNCTION("""COMPUTED_VALUE"""),0.0)</f>
        <v>0</v>
      </c>
      <c r="N658" s="8">
        <f>IFERROR(__xludf.DUMMYFUNCTION("""COMPUTED_VALUE"""),70.0)</f>
        <v>70</v>
      </c>
      <c r="O658" s="8"/>
      <c r="P658" s="8"/>
      <c r="Q658" s="8"/>
      <c r="R658" s="8"/>
      <c r="S658" s="8"/>
      <c r="T658" s="8"/>
      <c r="U658" s="8"/>
      <c r="V658" s="8"/>
      <c r="W658" s="8"/>
      <c r="X658" s="8"/>
      <c r="Y658" s="8"/>
      <c r="Z658" s="8"/>
    </row>
    <row r="659">
      <c r="A659" s="8">
        <f>IFERROR(__xludf.DUMMYFUNCTION("""COMPUTED_VALUE"""),1069.0)</f>
        <v>1069</v>
      </c>
      <c r="B659" s="8" t="str">
        <f>IFERROR(__xludf.DUMMYFUNCTION("""COMPUTED_VALUE"""),"tree")</f>
        <v>tree</v>
      </c>
      <c r="C659" s="8" t="str">
        <f>IFERROR(__xludf.DUMMYFUNCTION("""COMPUTED_VALUE"""),"graft")</f>
        <v>graft</v>
      </c>
      <c r="D659" s="55" t="str">
        <f>IFERROR(__xludf.DUMMYFUNCTION("""COMPUTED_VALUE"""),"Annona muricata")</f>
        <v>Annona muricata</v>
      </c>
      <c r="E659" s="8" t="str">
        <f>IFERROR(__xludf.DUMMYFUNCTION("""COMPUTED_VALUE"""),"Golden")</f>
        <v>Golden</v>
      </c>
      <c r="F659" s="8" t="str">
        <f>IFERROR(__xludf.DUMMYFUNCTION("""COMPUTED_VALUE"""),"Soursop")</f>
        <v>Soursop</v>
      </c>
      <c r="G659" s="8" t="str">
        <f>IFERROR(__xludf.DUMMYFUNCTION("""COMPUTED_VALUE"""),"Corossol")</f>
        <v>Corossol</v>
      </c>
      <c r="H659" s="8" t="str">
        <f>IFERROR(__xludf.DUMMYFUNCTION("""COMPUTED_VALUE"""),"seed")</f>
        <v>seed</v>
      </c>
      <c r="I659" s="8"/>
      <c r="J659" s="8"/>
      <c r="K659" s="8"/>
      <c r="L659" s="8" t="str">
        <f>IFERROR(__xludf.DUMMYFUNCTION("""COMPUTED_VALUE"""),"multiple")</f>
        <v>multiple</v>
      </c>
      <c r="M659" s="8">
        <f>IFERROR(__xludf.DUMMYFUNCTION("""COMPUTED_VALUE"""),0.0)</f>
        <v>0</v>
      </c>
      <c r="N659" s="8">
        <f>IFERROR(__xludf.DUMMYFUNCTION("""COMPUTED_VALUE"""),70.0)</f>
        <v>70</v>
      </c>
      <c r="O659" s="8"/>
      <c r="P659" s="8"/>
      <c r="Q659" s="8"/>
      <c r="R659" s="8"/>
      <c r="S659" s="8"/>
      <c r="T659" s="8"/>
      <c r="U659" s="8"/>
      <c r="V659" s="8"/>
      <c r="W659" s="8"/>
      <c r="X659" s="8"/>
      <c r="Y659" s="8"/>
      <c r="Z659" s="8"/>
    </row>
    <row r="660">
      <c r="A660" s="8">
        <f>IFERROR(__xludf.DUMMYFUNCTION("""COMPUTED_VALUE"""),1070.0)</f>
        <v>1070</v>
      </c>
      <c r="B660" s="8" t="str">
        <f>IFERROR(__xludf.DUMMYFUNCTION("""COMPUTED_VALUE"""),"tree")</f>
        <v>tree</v>
      </c>
      <c r="C660" s="8" t="str">
        <f>IFERROR(__xludf.DUMMYFUNCTION("""COMPUTED_VALUE"""),"graft")</f>
        <v>graft</v>
      </c>
      <c r="D660" s="55" t="str">
        <f>IFERROR(__xludf.DUMMYFUNCTION("""COMPUTED_VALUE"""),"Annona muricata")</f>
        <v>Annona muricata</v>
      </c>
      <c r="E660" s="8" t="str">
        <f>IFERROR(__xludf.DUMMYFUNCTION("""COMPUTED_VALUE"""),"Golden")</f>
        <v>Golden</v>
      </c>
      <c r="F660" s="8" t="str">
        <f>IFERROR(__xludf.DUMMYFUNCTION("""COMPUTED_VALUE"""),"Soursop")</f>
        <v>Soursop</v>
      </c>
      <c r="G660" s="8" t="str">
        <f>IFERROR(__xludf.DUMMYFUNCTION("""COMPUTED_VALUE"""),"Corossol")</f>
        <v>Corossol</v>
      </c>
      <c r="H660" s="8" t="str">
        <f>IFERROR(__xludf.DUMMYFUNCTION("""COMPUTED_VALUE"""),"seed")</f>
        <v>seed</v>
      </c>
      <c r="I660" s="8"/>
      <c r="J660" s="8"/>
      <c r="K660" s="8"/>
      <c r="L660" s="8" t="str">
        <f>IFERROR(__xludf.DUMMYFUNCTION("""COMPUTED_VALUE"""),"multiple")</f>
        <v>multiple</v>
      </c>
      <c r="M660" s="8">
        <f>IFERROR(__xludf.DUMMYFUNCTION("""COMPUTED_VALUE"""),0.0)</f>
        <v>0</v>
      </c>
      <c r="N660" s="8">
        <f>IFERROR(__xludf.DUMMYFUNCTION("""COMPUTED_VALUE"""),70.0)</f>
        <v>70</v>
      </c>
      <c r="O660" s="8"/>
      <c r="P660" s="8"/>
      <c r="Q660" s="8"/>
      <c r="R660" s="8"/>
      <c r="S660" s="8"/>
      <c r="T660" s="8"/>
      <c r="U660" s="8"/>
      <c r="V660" s="8"/>
      <c r="W660" s="8"/>
      <c r="X660" s="8"/>
      <c r="Y660" s="8"/>
      <c r="Z660" s="8"/>
    </row>
    <row r="661">
      <c r="A661" s="8">
        <f>IFERROR(__xludf.DUMMYFUNCTION("""COMPUTED_VALUE"""),1071.0)</f>
        <v>1071</v>
      </c>
      <c r="B661" s="8" t="str">
        <f>IFERROR(__xludf.DUMMYFUNCTION("""COMPUTED_VALUE"""),"tree")</f>
        <v>tree</v>
      </c>
      <c r="C661" s="8" t="str">
        <f>IFERROR(__xludf.DUMMYFUNCTION("""COMPUTED_VALUE"""),"graft")</f>
        <v>graft</v>
      </c>
      <c r="D661" s="55" t="str">
        <f>IFERROR(__xludf.DUMMYFUNCTION("""COMPUTED_VALUE"""),"Annona muricata")</f>
        <v>Annona muricata</v>
      </c>
      <c r="E661" s="8" t="str">
        <f>IFERROR(__xludf.DUMMYFUNCTION("""COMPUTED_VALUE"""),"Golden")</f>
        <v>Golden</v>
      </c>
      <c r="F661" s="8" t="str">
        <f>IFERROR(__xludf.DUMMYFUNCTION("""COMPUTED_VALUE"""),"Soursop")</f>
        <v>Soursop</v>
      </c>
      <c r="G661" s="8" t="str">
        <f>IFERROR(__xludf.DUMMYFUNCTION("""COMPUTED_VALUE"""),"Corossol")</f>
        <v>Corossol</v>
      </c>
      <c r="H661" s="8" t="str">
        <f>IFERROR(__xludf.DUMMYFUNCTION("""COMPUTED_VALUE"""),"seed")</f>
        <v>seed</v>
      </c>
      <c r="I661" s="8"/>
      <c r="J661" s="8"/>
      <c r="K661" s="8"/>
      <c r="L661" s="8" t="str">
        <f>IFERROR(__xludf.DUMMYFUNCTION("""COMPUTED_VALUE"""),"multiple")</f>
        <v>multiple</v>
      </c>
      <c r="M661" s="8">
        <f>IFERROR(__xludf.DUMMYFUNCTION("""COMPUTED_VALUE"""),0.0)</f>
        <v>0</v>
      </c>
      <c r="N661" s="8">
        <f>IFERROR(__xludf.DUMMYFUNCTION("""COMPUTED_VALUE"""),70.0)</f>
        <v>70</v>
      </c>
      <c r="O661" s="8"/>
      <c r="P661" s="8"/>
      <c r="Q661" s="8"/>
      <c r="R661" s="8"/>
      <c r="S661" s="8"/>
      <c r="T661" s="8"/>
      <c r="U661" s="8"/>
      <c r="V661" s="8"/>
      <c r="W661" s="8"/>
      <c r="X661" s="8"/>
      <c r="Y661" s="8"/>
      <c r="Z661" s="8"/>
    </row>
    <row r="662">
      <c r="A662" s="8">
        <f>IFERROR(__xludf.DUMMYFUNCTION("""COMPUTED_VALUE"""),1072.0)</f>
        <v>1072</v>
      </c>
      <c r="B662" s="8" t="str">
        <f>IFERROR(__xludf.DUMMYFUNCTION("""COMPUTED_VALUE"""),"tree")</f>
        <v>tree</v>
      </c>
      <c r="C662" s="8" t="str">
        <f>IFERROR(__xludf.DUMMYFUNCTION("""COMPUTED_VALUE"""),"graft")</f>
        <v>graft</v>
      </c>
      <c r="D662" s="55" t="str">
        <f>IFERROR(__xludf.DUMMYFUNCTION("""COMPUTED_VALUE"""),"Annona muricata")</f>
        <v>Annona muricata</v>
      </c>
      <c r="E662" s="8" t="str">
        <f>IFERROR(__xludf.DUMMYFUNCTION("""COMPUTED_VALUE"""),"Golden")</f>
        <v>Golden</v>
      </c>
      <c r="F662" s="8" t="str">
        <f>IFERROR(__xludf.DUMMYFUNCTION("""COMPUTED_VALUE"""),"Soursop")</f>
        <v>Soursop</v>
      </c>
      <c r="G662" s="8" t="str">
        <f>IFERROR(__xludf.DUMMYFUNCTION("""COMPUTED_VALUE"""),"Corossol")</f>
        <v>Corossol</v>
      </c>
      <c r="H662" s="8" t="str">
        <f>IFERROR(__xludf.DUMMYFUNCTION("""COMPUTED_VALUE"""),"seed")</f>
        <v>seed</v>
      </c>
      <c r="I662" s="8"/>
      <c r="J662" s="8"/>
      <c r="K662" s="8"/>
      <c r="L662" s="8" t="str">
        <f>IFERROR(__xludf.DUMMYFUNCTION("""COMPUTED_VALUE"""),"multiple")</f>
        <v>multiple</v>
      </c>
      <c r="M662" s="8">
        <f>IFERROR(__xludf.DUMMYFUNCTION("""COMPUTED_VALUE"""),0.0)</f>
        <v>0</v>
      </c>
      <c r="N662" s="8">
        <f>IFERROR(__xludf.DUMMYFUNCTION("""COMPUTED_VALUE"""),70.0)</f>
        <v>70</v>
      </c>
      <c r="O662" s="8"/>
      <c r="P662" s="8"/>
      <c r="Q662" s="8"/>
      <c r="R662" s="8"/>
      <c r="S662" s="8"/>
      <c r="T662" s="8"/>
      <c r="U662" s="8"/>
      <c r="V662" s="8"/>
      <c r="W662" s="8"/>
      <c r="X662" s="8"/>
      <c r="Y662" s="8"/>
      <c r="Z662" s="8"/>
    </row>
    <row r="663">
      <c r="A663" s="8">
        <f>IFERROR(__xludf.DUMMYFUNCTION("""COMPUTED_VALUE"""),1073.0)</f>
        <v>1073</v>
      </c>
      <c r="B663" s="8" t="str">
        <f>IFERROR(__xludf.DUMMYFUNCTION("""COMPUTED_VALUE"""),"tree")</f>
        <v>tree</v>
      </c>
      <c r="C663" s="8" t="str">
        <f>IFERROR(__xludf.DUMMYFUNCTION("""COMPUTED_VALUE"""),"graft")</f>
        <v>graft</v>
      </c>
      <c r="D663" s="55" t="str">
        <f>IFERROR(__xludf.DUMMYFUNCTION("""COMPUTED_VALUE"""),"Annona muricata")</f>
        <v>Annona muricata</v>
      </c>
      <c r="E663" s="8" t="str">
        <f>IFERROR(__xludf.DUMMYFUNCTION("""COMPUTED_VALUE"""),"Golden")</f>
        <v>Golden</v>
      </c>
      <c r="F663" s="8" t="str">
        <f>IFERROR(__xludf.DUMMYFUNCTION("""COMPUTED_VALUE"""),"Soursop")</f>
        <v>Soursop</v>
      </c>
      <c r="G663" s="8" t="str">
        <f>IFERROR(__xludf.DUMMYFUNCTION("""COMPUTED_VALUE"""),"Corossol")</f>
        <v>Corossol</v>
      </c>
      <c r="H663" s="8" t="str">
        <f>IFERROR(__xludf.DUMMYFUNCTION("""COMPUTED_VALUE"""),"seed")</f>
        <v>seed</v>
      </c>
      <c r="I663" s="8"/>
      <c r="J663" s="8"/>
      <c r="K663" s="8"/>
      <c r="L663" s="8" t="str">
        <f>IFERROR(__xludf.DUMMYFUNCTION("""COMPUTED_VALUE"""),"multiple")</f>
        <v>multiple</v>
      </c>
      <c r="M663" s="8">
        <f>IFERROR(__xludf.DUMMYFUNCTION("""COMPUTED_VALUE"""),0.0)</f>
        <v>0</v>
      </c>
      <c r="N663" s="8">
        <f>IFERROR(__xludf.DUMMYFUNCTION("""COMPUTED_VALUE"""),70.0)</f>
        <v>70</v>
      </c>
      <c r="O663" s="8"/>
      <c r="P663" s="8"/>
      <c r="Q663" s="8"/>
      <c r="R663" s="8"/>
      <c r="S663" s="8"/>
      <c r="T663" s="8"/>
      <c r="U663" s="8"/>
      <c r="V663" s="8"/>
      <c r="W663" s="8"/>
      <c r="X663" s="8"/>
      <c r="Y663" s="8"/>
      <c r="Z663" s="8"/>
    </row>
    <row r="664">
      <c r="A664" s="8">
        <f>IFERROR(__xludf.DUMMYFUNCTION("""COMPUTED_VALUE"""),1074.0)</f>
        <v>1074</v>
      </c>
      <c r="B664" s="8" t="str">
        <f>IFERROR(__xludf.DUMMYFUNCTION("""COMPUTED_VALUE"""),"tree")</f>
        <v>tree</v>
      </c>
      <c r="C664" s="8" t="str">
        <f>IFERROR(__xludf.DUMMYFUNCTION("""COMPUTED_VALUE"""),"graft")</f>
        <v>graft</v>
      </c>
      <c r="D664" s="55" t="str">
        <f>IFERROR(__xludf.DUMMYFUNCTION("""COMPUTED_VALUE"""),"Annona muricata")</f>
        <v>Annona muricata</v>
      </c>
      <c r="E664" s="8" t="str">
        <f>IFERROR(__xludf.DUMMYFUNCTION("""COMPUTED_VALUE"""),"Golden")</f>
        <v>Golden</v>
      </c>
      <c r="F664" s="8" t="str">
        <f>IFERROR(__xludf.DUMMYFUNCTION("""COMPUTED_VALUE"""),"Soursop")</f>
        <v>Soursop</v>
      </c>
      <c r="G664" s="8" t="str">
        <f>IFERROR(__xludf.DUMMYFUNCTION("""COMPUTED_VALUE"""),"Corossol")</f>
        <v>Corossol</v>
      </c>
      <c r="H664" s="8" t="str">
        <f>IFERROR(__xludf.DUMMYFUNCTION("""COMPUTED_VALUE"""),"seed")</f>
        <v>seed</v>
      </c>
      <c r="I664" s="8"/>
      <c r="J664" s="8"/>
      <c r="K664" s="8"/>
      <c r="L664" s="8" t="str">
        <f>IFERROR(__xludf.DUMMYFUNCTION("""COMPUTED_VALUE"""),"multiple")</f>
        <v>multiple</v>
      </c>
      <c r="M664" s="8">
        <f>IFERROR(__xludf.DUMMYFUNCTION("""COMPUTED_VALUE"""),0.0)</f>
        <v>0</v>
      </c>
      <c r="N664" s="8">
        <f>IFERROR(__xludf.DUMMYFUNCTION("""COMPUTED_VALUE"""),70.0)</f>
        <v>70</v>
      </c>
      <c r="O664" s="8"/>
      <c r="P664" s="8"/>
      <c r="Q664" s="8"/>
      <c r="R664" s="8"/>
      <c r="S664" s="8"/>
      <c r="T664" s="8"/>
      <c r="U664" s="8"/>
      <c r="V664" s="8"/>
      <c r="W664" s="8"/>
      <c r="X664" s="8"/>
      <c r="Y664" s="8"/>
      <c r="Z664" s="8"/>
    </row>
    <row r="665">
      <c r="A665" s="8">
        <f>IFERROR(__xludf.DUMMYFUNCTION("""COMPUTED_VALUE"""),1075.0)</f>
        <v>1075</v>
      </c>
      <c r="B665" s="8" t="str">
        <f>IFERROR(__xludf.DUMMYFUNCTION("""COMPUTED_VALUE"""),"tree")</f>
        <v>tree</v>
      </c>
      <c r="C665" s="8" t="str">
        <f>IFERROR(__xludf.DUMMYFUNCTION("""COMPUTED_VALUE"""),"graft")</f>
        <v>graft</v>
      </c>
      <c r="D665" s="55" t="str">
        <f>IFERROR(__xludf.DUMMYFUNCTION("""COMPUTED_VALUE"""),"Annona muricata")</f>
        <v>Annona muricata</v>
      </c>
      <c r="E665" s="8" t="str">
        <f>IFERROR(__xludf.DUMMYFUNCTION("""COMPUTED_VALUE"""),"Golden")</f>
        <v>Golden</v>
      </c>
      <c r="F665" s="8" t="str">
        <f>IFERROR(__xludf.DUMMYFUNCTION("""COMPUTED_VALUE"""),"Soursop")</f>
        <v>Soursop</v>
      </c>
      <c r="G665" s="8" t="str">
        <f>IFERROR(__xludf.DUMMYFUNCTION("""COMPUTED_VALUE"""),"Corossol")</f>
        <v>Corossol</v>
      </c>
      <c r="H665" s="8" t="str">
        <f>IFERROR(__xludf.DUMMYFUNCTION("""COMPUTED_VALUE"""),"seed")</f>
        <v>seed</v>
      </c>
      <c r="I665" s="8"/>
      <c r="J665" s="8"/>
      <c r="K665" s="8"/>
      <c r="L665" s="8" t="str">
        <f>IFERROR(__xludf.DUMMYFUNCTION("""COMPUTED_VALUE"""),"multiple")</f>
        <v>multiple</v>
      </c>
      <c r="M665" s="8">
        <f>IFERROR(__xludf.DUMMYFUNCTION("""COMPUTED_VALUE"""),0.0)</f>
        <v>0</v>
      </c>
      <c r="N665" s="8">
        <f>IFERROR(__xludf.DUMMYFUNCTION("""COMPUTED_VALUE"""),70.0)</f>
        <v>70</v>
      </c>
      <c r="O665" s="8"/>
      <c r="P665" s="8"/>
      <c r="Q665" s="8"/>
      <c r="R665" s="8"/>
      <c r="S665" s="8"/>
      <c r="T665" s="8"/>
      <c r="U665" s="8"/>
      <c r="V665" s="8"/>
      <c r="W665" s="8"/>
      <c r="X665" s="8"/>
      <c r="Y665" s="8"/>
      <c r="Z665" s="8"/>
    </row>
    <row r="666">
      <c r="A666" s="8">
        <f>IFERROR(__xludf.DUMMYFUNCTION("""COMPUTED_VALUE"""),1076.0)</f>
        <v>1076</v>
      </c>
      <c r="B666" s="8" t="str">
        <f>IFERROR(__xludf.DUMMYFUNCTION("""COMPUTED_VALUE"""),"tree")</f>
        <v>tree</v>
      </c>
      <c r="C666" s="8" t="str">
        <f>IFERROR(__xludf.DUMMYFUNCTION("""COMPUTED_VALUE"""),"graft")</f>
        <v>graft</v>
      </c>
      <c r="D666" s="55" t="str">
        <f>IFERROR(__xludf.DUMMYFUNCTION("""COMPUTED_VALUE"""),"Annona muricata")</f>
        <v>Annona muricata</v>
      </c>
      <c r="E666" s="8" t="str">
        <f>IFERROR(__xludf.DUMMYFUNCTION("""COMPUTED_VALUE"""),"Golden")</f>
        <v>Golden</v>
      </c>
      <c r="F666" s="8" t="str">
        <f>IFERROR(__xludf.DUMMYFUNCTION("""COMPUTED_VALUE"""),"Soursop")</f>
        <v>Soursop</v>
      </c>
      <c r="G666" s="8" t="str">
        <f>IFERROR(__xludf.DUMMYFUNCTION("""COMPUTED_VALUE"""),"Corossol")</f>
        <v>Corossol</v>
      </c>
      <c r="H666" s="8" t="str">
        <f>IFERROR(__xludf.DUMMYFUNCTION("""COMPUTED_VALUE"""),"seed")</f>
        <v>seed</v>
      </c>
      <c r="I666" s="8"/>
      <c r="J666" s="8"/>
      <c r="K666" s="8"/>
      <c r="L666" s="8" t="str">
        <f>IFERROR(__xludf.DUMMYFUNCTION("""COMPUTED_VALUE"""),"multiple")</f>
        <v>multiple</v>
      </c>
      <c r="M666" s="8">
        <f>IFERROR(__xludf.DUMMYFUNCTION("""COMPUTED_VALUE"""),0.0)</f>
        <v>0</v>
      </c>
      <c r="N666" s="8">
        <f>IFERROR(__xludf.DUMMYFUNCTION("""COMPUTED_VALUE"""),70.0)</f>
        <v>70</v>
      </c>
      <c r="O666" s="8"/>
      <c r="P666" s="8"/>
      <c r="Q666" s="8"/>
      <c r="R666" s="8"/>
      <c r="S666" s="8"/>
      <c r="T666" s="8"/>
      <c r="U666" s="8"/>
      <c r="V666" s="8"/>
      <c r="W666" s="8"/>
      <c r="X666" s="8"/>
      <c r="Y666" s="8"/>
      <c r="Z666" s="8"/>
    </row>
    <row r="667">
      <c r="A667" s="8">
        <f>IFERROR(__xludf.DUMMYFUNCTION("""COMPUTED_VALUE"""),1077.0)</f>
        <v>1077</v>
      </c>
      <c r="B667" s="8" t="str">
        <f>IFERROR(__xludf.DUMMYFUNCTION("""COMPUTED_VALUE"""),"tree")</f>
        <v>tree</v>
      </c>
      <c r="C667" s="8" t="str">
        <f>IFERROR(__xludf.DUMMYFUNCTION("""COMPUTED_VALUE"""),"graft")</f>
        <v>graft</v>
      </c>
      <c r="D667" s="55" t="str">
        <f>IFERROR(__xludf.DUMMYFUNCTION("""COMPUTED_VALUE"""),"Annona muricata")</f>
        <v>Annona muricata</v>
      </c>
      <c r="E667" s="8" t="str">
        <f>IFERROR(__xludf.DUMMYFUNCTION("""COMPUTED_VALUE"""),"Golden")</f>
        <v>Golden</v>
      </c>
      <c r="F667" s="8" t="str">
        <f>IFERROR(__xludf.DUMMYFUNCTION("""COMPUTED_VALUE"""),"Soursop")</f>
        <v>Soursop</v>
      </c>
      <c r="G667" s="8" t="str">
        <f>IFERROR(__xludf.DUMMYFUNCTION("""COMPUTED_VALUE"""),"Corossol")</f>
        <v>Corossol</v>
      </c>
      <c r="H667" s="8" t="str">
        <f>IFERROR(__xludf.DUMMYFUNCTION("""COMPUTED_VALUE"""),"seed")</f>
        <v>seed</v>
      </c>
      <c r="I667" s="8"/>
      <c r="J667" s="8"/>
      <c r="K667" s="8"/>
      <c r="L667" s="8" t="str">
        <f>IFERROR(__xludf.DUMMYFUNCTION("""COMPUTED_VALUE"""),"multiple")</f>
        <v>multiple</v>
      </c>
      <c r="M667" s="8">
        <f>IFERROR(__xludf.DUMMYFUNCTION("""COMPUTED_VALUE"""),0.0)</f>
        <v>0</v>
      </c>
      <c r="N667" s="8">
        <f>IFERROR(__xludf.DUMMYFUNCTION("""COMPUTED_VALUE"""),70.0)</f>
        <v>70</v>
      </c>
      <c r="O667" s="8"/>
      <c r="P667" s="8"/>
      <c r="Q667" s="8"/>
      <c r="R667" s="8"/>
      <c r="S667" s="8"/>
      <c r="T667" s="8"/>
      <c r="U667" s="8"/>
      <c r="V667" s="8"/>
      <c r="W667" s="8"/>
      <c r="X667" s="8"/>
      <c r="Y667" s="8"/>
      <c r="Z667" s="8"/>
    </row>
    <row r="668">
      <c r="A668" s="8">
        <f>IFERROR(__xludf.DUMMYFUNCTION("""COMPUTED_VALUE"""),1078.0)</f>
        <v>1078</v>
      </c>
      <c r="B668" s="8" t="str">
        <f>IFERROR(__xludf.DUMMYFUNCTION("""COMPUTED_VALUE"""),"tree")</f>
        <v>tree</v>
      </c>
      <c r="C668" s="8" t="str">
        <f>IFERROR(__xludf.DUMMYFUNCTION("""COMPUTED_VALUE"""),"graft")</f>
        <v>graft</v>
      </c>
      <c r="D668" s="55" t="str">
        <f>IFERROR(__xludf.DUMMYFUNCTION("""COMPUTED_VALUE"""),"Annona muricata")</f>
        <v>Annona muricata</v>
      </c>
      <c r="E668" s="8" t="str">
        <f>IFERROR(__xludf.DUMMYFUNCTION("""COMPUTED_VALUE"""),"Golden")</f>
        <v>Golden</v>
      </c>
      <c r="F668" s="8" t="str">
        <f>IFERROR(__xludf.DUMMYFUNCTION("""COMPUTED_VALUE"""),"Soursop")</f>
        <v>Soursop</v>
      </c>
      <c r="G668" s="8" t="str">
        <f>IFERROR(__xludf.DUMMYFUNCTION("""COMPUTED_VALUE"""),"Corossol")</f>
        <v>Corossol</v>
      </c>
      <c r="H668" s="8" t="str">
        <f>IFERROR(__xludf.DUMMYFUNCTION("""COMPUTED_VALUE"""),"seed")</f>
        <v>seed</v>
      </c>
      <c r="I668" s="8"/>
      <c r="J668" s="8"/>
      <c r="K668" s="8"/>
      <c r="L668" s="8" t="str">
        <f>IFERROR(__xludf.DUMMYFUNCTION("""COMPUTED_VALUE"""),"multiple")</f>
        <v>multiple</v>
      </c>
      <c r="M668" s="8">
        <f>IFERROR(__xludf.DUMMYFUNCTION("""COMPUTED_VALUE"""),0.0)</f>
        <v>0</v>
      </c>
      <c r="N668" s="8">
        <f>IFERROR(__xludf.DUMMYFUNCTION("""COMPUTED_VALUE"""),70.0)</f>
        <v>70</v>
      </c>
      <c r="O668" s="8"/>
      <c r="P668" s="8"/>
      <c r="Q668" s="8"/>
      <c r="R668" s="8"/>
      <c r="S668" s="8"/>
      <c r="T668" s="8"/>
      <c r="U668" s="8"/>
      <c r="V668" s="8"/>
      <c r="W668" s="8"/>
      <c r="X668" s="8"/>
      <c r="Y668" s="8"/>
      <c r="Z668" s="8"/>
    </row>
    <row r="669">
      <c r="A669" s="8">
        <f>IFERROR(__xludf.DUMMYFUNCTION("""COMPUTED_VALUE"""),1079.0)</f>
        <v>1079</v>
      </c>
      <c r="B669" s="8" t="str">
        <f>IFERROR(__xludf.DUMMYFUNCTION("""COMPUTED_VALUE"""),"tree")</f>
        <v>tree</v>
      </c>
      <c r="C669" s="8" t="str">
        <f>IFERROR(__xludf.DUMMYFUNCTION("""COMPUTED_VALUE"""),"graft")</f>
        <v>graft</v>
      </c>
      <c r="D669" s="55" t="str">
        <f>IFERROR(__xludf.DUMMYFUNCTION("""COMPUTED_VALUE"""),"Annona muricata")</f>
        <v>Annona muricata</v>
      </c>
      <c r="E669" s="8" t="str">
        <f>IFERROR(__xludf.DUMMYFUNCTION("""COMPUTED_VALUE"""),"Golden")</f>
        <v>Golden</v>
      </c>
      <c r="F669" s="8" t="str">
        <f>IFERROR(__xludf.DUMMYFUNCTION("""COMPUTED_VALUE"""),"Soursop")</f>
        <v>Soursop</v>
      </c>
      <c r="G669" s="8" t="str">
        <f>IFERROR(__xludf.DUMMYFUNCTION("""COMPUTED_VALUE"""),"Corossol")</f>
        <v>Corossol</v>
      </c>
      <c r="H669" s="8" t="str">
        <f>IFERROR(__xludf.DUMMYFUNCTION("""COMPUTED_VALUE"""),"seed")</f>
        <v>seed</v>
      </c>
      <c r="I669" s="8"/>
      <c r="J669" s="8"/>
      <c r="K669" s="8"/>
      <c r="L669" s="8" t="str">
        <f>IFERROR(__xludf.DUMMYFUNCTION("""COMPUTED_VALUE"""),"multiple")</f>
        <v>multiple</v>
      </c>
      <c r="M669" s="8">
        <f>IFERROR(__xludf.DUMMYFUNCTION("""COMPUTED_VALUE"""),0.0)</f>
        <v>0</v>
      </c>
      <c r="N669" s="8">
        <f>IFERROR(__xludf.DUMMYFUNCTION("""COMPUTED_VALUE"""),70.0)</f>
        <v>70</v>
      </c>
      <c r="O669" s="8"/>
      <c r="P669" s="8"/>
      <c r="Q669" s="8"/>
      <c r="R669" s="8"/>
      <c r="S669" s="8"/>
      <c r="T669" s="8"/>
      <c r="U669" s="8"/>
      <c r="V669" s="8"/>
      <c r="W669" s="8"/>
      <c r="X669" s="8"/>
      <c r="Y669" s="8"/>
      <c r="Z669" s="8"/>
    </row>
    <row r="670">
      <c r="A670" s="8">
        <f>IFERROR(__xludf.DUMMYFUNCTION("""COMPUTED_VALUE"""),1080.0)</f>
        <v>1080</v>
      </c>
      <c r="B670" s="8" t="str">
        <f>IFERROR(__xludf.DUMMYFUNCTION("""COMPUTED_VALUE"""),"tree")</f>
        <v>tree</v>
      </c>
      <c r="C670" s="8" t="str">
        <f>IFERROR(__xludf.DUMMYFUNCTION("""COMPUTED_VALUE"""),"graft")</f>
        <v>graft</v>
      </c>
      <c r="D670" s="55" t="str">
        <f>IFERROR(__xludf.DUMMYFUNCTION("""COMPUTED_VALUE"""),"Annona muricata")</f>
        <v>Annona muricata</v>
      </c>
      <c r="E670" s="8" t="str">
        <f>IFERROR(__xludf.DUMMYFUNCTION("""COMPUTED_VALUE"""),"Golden")</f>
        <v>Golden</v>
      </c>
      <c r="F670" s="8" t="str">
        <f>IFERROR(__xludf.DUMMYFUNCTION("""COMPUTED_VALUE"""),"Soursop")</f>
        <v>Soursop</v>
      </c>
      <c r="G670" s="8" t="str">
        <f>IFERROR(__xludf.DUMMYFUNCTION("""COMPUTED_VALUE"""),"Corossol")</f>
        <v>Corossol</v>
      </c>
      <c r="H670" s="8" t="str">
        <f>IFERROR(__xludf.DUMMYFUNCTION("""COMPUTED_VALUE"""),"seed")</f>
        <v>seed</v>
      </c>
      <c r="I670" s="8"/>
      <c r="J670" s="8"/>
      <c r="K670" s="8"/>
      <c r="L670" s="8" t="str">
        <f>IFERROR(__xludf.DUMMYFUNCTION("""COMPUTED_VALUE"""),"multiple")</f>
        <v>multiple</v>
      </c>
      <c r="M670" s="8">
        <f>IFERROR(__xludf.DUMMYFUNCTION("""COMPUTED_VALUE"""),0.0)</f>
        <v>0</v>
      </c>
      <c r="N670" s="8">
        <f>IFERROR(__xludf.DUMMYFUNCTION("""COMPUTED_VALUE"""),70.0)</f>
        <v>70</v>
      </c>
      <c r="O670" s="8"/>
      <c r="P670" s="8"/>
      <c r="Q670" s="8"/>
      <c r="R670" s="8"/>
      <c r="S670" s="8"/>
      <c r="T670" s="8"/>
      <c r="U670" s="8"/>
      <c r="V670" s="8"/>
      <c r="W670" s="8"/>
      <c r="X670" s="8"/>
      <c r="Y670" s="8"/>
      <c r="Z670" s="8"/>
    </row>
    <row r="671">
      <c r="A671" s="8">
        <f>IFERROR(__xludf.DUMMYFUNCTION("""COMPUTED_VALUE"""),1081.0)</f>
        <v>1081</v>
      </c>
      <c r="B671" s="8" t="str">
        <f>IFERROR(__xludf.DUMMYFUNCTION("""COMPUTED_VALUE"""),"tree")</f>
        <v>tree</v>
      </c>
      <c r="C671" s="8" t="str">
        <f>IFERROR(__xludf.DUMMYFUNCTION("""COMPUTED_VALUE"""),"graft")</f>
        <v>graft</v>
      </c>
      <c r="D671" s="55" t="str">
        <f>IFERROR(__xludf.DUMMYFUNCTION("""COMPUTED_VALUE"""),"Annona muricata")</f>
        <v>Annona muricata</v>
      </c>
      <c r="E671" s="8" t="str">
        <f>IFERROR(__xludf.DUMMYFUNCTION("""COMPUTED_VALUE"""),"Golden")</f>
        <v>Golden</v>
      </c>
      <c r="F671" s="8" t="str">
        <f>IFERROR(__xludf.DUMMYFUNCTION("""COMPUTED_VALUE"""),"Soursop")</f>
        <v>Soursop</v>
      </c>
      <c r="G671" s="8" t="str">
        <f>IFERROR(__xludf.DUMMYFUNCTION("""COMPUTED_VALUE"""),"Corossol")</f>
        <v>Corossol</v>
      </c>
      <c r="H671" s="8" t="str">
        <f>IFERROR(__xludf.DUMMYFUNCTION("""COMPUTED_VALUE"""),"seed")</f>
        <v>seed</v>
      </c>
      <c r="I671" s="8"/>
      <c r="J671" s="8"/>
      <c r="K671" s="8"/>
      <c r="L671" s="8" t="str">
        <f>IFERROR(__xludf.DUMMYFUNCTION("""COMPUTED_VALUE"""),"multiple")</f>
        <v>multiple</v>
      </c>
      <c r="M671" s="8">
        <f>IFERROR(__xludf.DUMMYFUNCTION("""COMPUTED_VALUE"""),0.0)</f>
        <v>0</v>
      </c>
      <c r="N671" s="8">
        <f>IFERROR(__xludf.DUMMYFUNCTION("""COMPUTED_VALUE"""),70.0)</f>
        <v>70</v>
      </c>
      <c r="O671" s="8"/>
      <c r="P671" s="8"/>
      <c r="Q671" s="8"/>
      <c r="R671" s="8"/>
      <c r="S671" s="8"/>
      <c r="T671" s="8"/>
      <c r="U671" s="8"/>
      <c r="V671" s="8"/>
      <c r="W671" s="8"/>
      <c r="X671" s="8"/>
      <c r="Y671" s="8"/>
      <c r="Z671" s="8"/>
    </row>
    <row r="672">
      <c r="A672" s="8">
        <f>IFERROR(__xludf.DUMMYFUNCTION("""COMPUTED_VALUE"""),1082.0)</f>
        <v>1082</v>
      </c>
      <c r="B672" s="8" t="str">
        <f>IFERROR(__xludf.DUMMYFUNCTION("""COMPUTED_VALUE"""),"tree")</f>
        <v>tree</v>
      </c>
      <c r="C672" s="8" t="str">
        <f>IFERROR(__xludf.DUMMYFUNCTION("""COMPUTED_VALUE"""),"graft")</f>
        <v>graft</v>
      </c>
      <c r="D672" s="55" t="str">
        <f>IFERROR(__xludf.DUMMYFUNCTION("""COMPUTED_VALUE"""),"Annona muricata")</f>
        <v>Annona muricata</v>
      </c>
      <c r="E672" s="8" t="str">
        <f>IFERROR(__xludf.DUMMYFUNCTION("""COMPUTED_VALUE"""),"Golden")</f>
        <v>Golden</v>
      </c>
      <c r="F672" s="8" t="str">
        <f>IFERROR(__xludf.DUMMYFUNCTION("""COMPUTED_VALUE"""),"Soursop")</f>
        <v>Soursop</v>
      </c>
      <c r="G672" s="8" t="str">
        <f>IFERROR(__xludf.DUMMYFUNCTION("""COMPUTED_VALUE"""),"Corossol")</f>
        <v>Corossol</v>
      </c>
      <c r="H672" s="8" t="str">
        <f>IFERROR(__xludf.DUMMYFUNCTION("""COMPUTED_VALUE"""),"seed")</f>
        <v>seed</v>
      </c>
      <c r="I672" s="8"/>
      <c r="J672" s="8"/>
      <c r="K672" s="8"/>
      <c r="L672" s="8" t="str">
        <f>IFERROR(__xludf.DUMMYFUNCTION("""COMPUTED_VALUE"""),"multiple")</f>
        <v>multiple</v>
      </c>
      <c r="M672" s="8">
        <f>IFERROR(__xludf.DUMMYFUNCTION("""COMPUTED_VALUE"""),0.0)</f>
        <v>0</v>
      </c>
      <c r="N672" s="8">
        <f>IFERROR(__xludf.DUMMYFUNCTION("""COMPUTED_VALUE"""),70.0)</f>
        <v>70</v>
      </c>
      <c r="O672" s="8"/>
      <c r="P672" s="8"/>
      <c r="Q672" s="8"/>
      <c r="R672" s="8"/>
      <c r="S672" s="8"/>
      <c r="T672" s="8"/>
      <c r="U672" s="8"/>
      <c r="V672" s="8"/>
      <c r="W672" s="8"/>
      <c r="X672" s="8"/>
      <c r="Y672" s="8"/>
      <c r="Z672" s="8"/>
    </row>
    <row r="673">
      <c r="A673" s="8">
        <f>IFERROR(__xludf.DUMMYFUNCTION("""COMPUTED_VALUE"""),1083.0)</f>
        <v>1083</v>
      </c>
      <c r="B673" s="8" t="str">
        <f>IFERROR(__xludf.DUMMYFUNCTION("""COMPUTED_VALUE"""),"tree")</f>
        <v>tree</v>
      </c>
      <c r="C673" s="8" t="str">
        <f>IFERROR(__xludf.DUMMYFUNCTION("""COMPUTED_VALUE"""),"graft")</f>
        <v>graft</v>
      </c>
      <c r="D673" s="55" t="str">
        <f>IFERROR(__xludf.DUMMYFUNCTION("""COMPUTED_VALUE"""),"Annona muricata")</f>
        <v>Annona muricata</v>
      </c>
      <c r="E673" s="8" t="str">
        <f>IFERROR(__xludf.DUMMYFUNCTION("""COMPUTED_VALUE"""),"Golden")</f>
        <v>Golden</v>
      </c>
      <c r="F673" s="8" t="str">
        <f>IFERROR(__xludf.DUMMYFUNCTION("""COMPUTED_VALUE"""),"Soursop")</f>
        <v>Soursop</v>
      </c>
      <c r="G673" s="8" t="str">
        <f>IFERROR(__xludf.DUMMYFUNCTION("""COMPUTED_VALUE"""),"Corossol")</f>
        <v>Corossol</v>
      </c>
      <c r="H673" s="8" t="str">
        <f>IFERROR(__xludf.DUMMYFUNCTION("""COMPUTED_VALUE"""),"seed")</f>
        <v>seed</v>
      </c>
      <c r="I673" s="8"/>
      <c r="J673" s="8"/>
      <c r="K673" s="8"/>
      <c r="L673" s="8" t="str">
        <f>IFERROR(__xludf.DUMMYFUNCTION("""COMPUTED_VALUE"""),"multiple")</f>
        <v>multiple</v>
      </c>
      <c r="M673" s="8">
        <f>IFERROR(__xludf.DUMMYFUNCTION("""COMPUTED_VALUE"""),0.0)</f>
        <v>0</v>
      </c>
      <c r="N673" s="8">
        <f>IFERROR(__xludf.DUMMYFUNCTION("""COMPUTED_VALUE"""),70.0)</f>
        <v>70</v>
      </c>
      <c r="O673" s="8"/>
      <c r="P673" s="8"/>
      <c r="Q673" s="8"/>
      <c r="R673" s="8"/>
      <c r="S673" s="8"/>
      <c r="T673" s="8"/>
      <c r="U673" s="8"/>
      <c r="V673" s="8"/>
      <c r="W673" s="8"/>
      <c r="X673" s="8"/>
      <c r="Y673" s="8"/>
      <c r="Z673" s="8"/>
    </row>
    <row r="674">
      <c r="A674" s="8">
        <f>IFERROR(__xludf.DUMMYFUNCTION("""COMPUTED_VALUE"""),1084.0)</f>
        <v>1084</v>
      </c>
      <c r="B674" s="8" t="str">
        <f>IFERROR(__xludf.DUMMYFUNCTION("""COMPUTED_VALUE"""),"tree")</f>
        <v>tree</v>
      </c>
      <c r="C674" s="8" t="str">
        <f>IFERROR(__xludf.DUMMYFUNCTION("""COMPUTED_VALUE"""),"graft")</f>
        <v>graft</v>
      </c>
      <c r="D674" s="55" t="str">
        <f>IFERROR(__xludf.DUMMYFUNCTION("""COMPUTED_VALUE"""),"Annona muricata")</f>
        <v>Annona muricata</v>
      </c>
      <c r="E674" s="8" t="str">
        <f>IFERROR(__xludf.DUMMYFUNCTION("""COMPUTED_VALUE"""),"Golden")</f>
        <v>Golden</v>
      </c>
      <c r="F674" s="8" t="str">
        <f>IFERROR(__xludf.DUMMYFUNCTION("""COMPUTED_VALUE"""),"Soursop")</f>
        <v>Soursop</v>
      </c>
      <c r="G674" s="8" t="str">
        <f>IFERROR(__xludf.DUMMYFUNCTION("""COMPUTED_VALUE"""),"Corossol")</f>
        <v>Corossol</v>
      </c>
      <c r="H674" s="8" t="str">
        <f>IFERROR(__xludf.DUMMYFUNCTION("""COMPUTED_VALUE"""),"seed")</f>
        <v>seed</v>
      </c>
      <c r="I674" s="8"/>
      <c r="J674" s="8"/>
      <c r="K674" s="8"/>
      <c r="L674" s="8" t="str">
        <f>IFERROR(__xludf.DUMMYFUNCTION("""COMPUTED_VALUE"""),"multiple")</f>
        <v>multiple</v>
      </c>
      <c r="M674" s="8">
        <f>IFERROR(__xludf.DUMMYFUNCTION("""COMPUTED_VALUE"""),0.0)</f>
        <v>0</v>
      </c>
      <c r="N674" s="8">
        <f>IFERROR(__xludf.DUMMYFUNCTION("""COMPUTED_VALUE"""),70.0)</f>
        <v>70</v>
      </c>
      <c r="O674" s="8"/>
      <c r="P674" s="8"/>
      <c r="Q674" s="8"/>
      <c r="R674" s="8"/>
      <c r="S674" s="8"/>
      <c r="T674" s="8"/>
      <c r="U674" s="8"/>
      <c r="V674" s="8"/>
      <c r="W674" s="8"/>
      <c r="X674" s="8"/>
      <c r="Y674" s="8"/>
      <c r="Z674" s="8"/>
    </row>
    <row r="675">
      <c r="A675" s="8">
        <f>IFERROR(__xludf.DUMMYFUNCTION("""COMPUTED_VALUE"""),1085.0)</f>
        <v>1085</v>
      </c>
      <c r="B675" s="8" t="str">
        <f>IFERROR(__xludf.DUMMYFUNCTION("""COMPUTED_VALUE"""),"tree")</f>
        <v>tree</v>
      </c>
      <c r="C675" s="8" t="str">
        <f>IFERROR(__xludf.DUMMYFUNCTION("""COMPUTED_VALUE"""),"graft")</f>
        <v>graft</v>
      </c>
      <c r="D675" s="55" t="str">
        <f>IFERROR(__xludf.DUMMYFUNCTION("""COMPUTED_VALUE"""),"Annona muricata")</f>
        <v>Annona muricata</v>
      </c>
      <c r="E675" s="8" t="str">
        <f>IFERROR(__xludf.DUMMYFUNCTION("""COMPUTED_VALUE"""),"Golden")</f>
        <v>Golden</v>
      </c>
      <c r="F675" s="8" t="str">
        <f>IFERROR(__xludf.DUMMYFUNCTION("""COMPUTED_VALUE"""),"Soursop")</f>
        <v>Soursop</v>
      </c>
      <c r="G675" s="8" t="str">
        <f>IFERROR(__xludf.DUMMYFUNCTION("""COMPUTED_VALUE"""),"Corossol")</f>
        <v>Corossol</v>
      </c>
      <c r="H675" s="8" t="str">
        <f>IFERROR(__xludf.DUMMYFUNCTION("""COMPUTED_VALUE"""),"seed")</f>
        <v>seed</v>
      </c>
      <c r="I675" s="8"/>
      <c r="J675" s="8"/>
      <c r="K675" s="8"/>
      <c r="L675" s="8" t="str">
        <f>IFERROR(__xludf.DUMMYFUNCTION("""COMPUTED_VALUE"""),"multiple")</f>
        <v>multiple</v>
      </c>
      <c r="M675" s="8">
        <f>IFERROR(__xludf.DUMMYFUNCTION("""COMPUTED_VALUE"""),0.0)</f>
        <v>0</v>
      </c>
      <c r="N675" s="8">
        <f>IFERROR(__xludf.DUMMYFUNCTION("""COMPUTED_VALUE"""),70.0)</f>
        <v>70</v>
      </c>
      <c r="O675" s="8"/>
      <c r="P675" s="8"/>
      <c r="Q675" s="8"/>
      <c r="R675" s="8"/>
      <c r="S675" s="8"/>
      <c r="T675" s="8"/>
      <c r="U675" s="8"/>
      <c r="V675" s="8"/>
      <c r="W675" s="8"/>
      <c r="X675" s="8"/>
      <c r="Y675" s="8"/>
      <c r="Z675" s="8"/>
    </row>
    <row r="676">
      <c r="A676" s="8">
        <f>IFERROR(__xludf.DUMMYFUNCTION("""COMPUTED_VALUE"""),1086.0)</f>
        <v>1086</v>
      </c>
      <c r="B676" s="8" t="str">
        <f>IFERROR(__xludf.DUMMYFUNCTION("""COMPUTED_VALUE"""),"tree")</f>
        <v>tree</v>
      </c>
      <c r="C676" s="8" t="str">
        <f>IFERROR(__xludf.DUMMYFUNCTION("""COMPUTED_VALUE"""),"graft")</f>
        <v>graft</v>
      </c>
      <c r="D676" s="55" t="str">
        <f>IFERROR(__xludf.DUMMYFUNCTION("""COMPUTED_VALUE"""),"Annona muricata")</f>
        <v>Annona muricata</v>
      </c>
      <c r="E676" s="8" t="str">
        <f>IFERROR(__xludf.DUMMYFUNCTION("""COMPUTED_VALUE"""),"Golden")</f>
        <v>Golden</v>
      </c>
      <c r="F676" s="8" t="str">
        <f>IFERROR(__xludf.DUMMYFUNCTION("""COMPUTED_VALUE"""),"Soursop")</f>
        <v>Soursop</v>
      </c>
      <c r="G676" s="8" t="str">
        <f>IFERROR(__xludf.DUMMYFUNCTION("""COMPUTED_VALUE"""),"Corossol")</f>
        <v>Corossol</v>
      </c>
      <c r="H676" s="8" t="str">
        <f>IFERROR(__xludf.DUMMYFUNCTION("""COMPUTED_VALUE"""),"seed")</f>
        <v>seed</v>
      </c>
      <c r="I676" s="8"/>
      <c r="J676" s="8"/>
      <c r="K676" s="8"/>
      <c r="L676" s="8" t="str">
        <f>IFERROR(__xludf.DUMMYFUNCTION("""COMPUTED_VALUE"""),"multiple")</f>
        <v>multiple</v>
      </c>
      <c r="M676" s="8">
        <f>IFERROR(__xludf.DUMMYFUNCTION("""COMPUTED_VALUE"""),0.0)</f>
        <v>0</v>
      </c>
      <c r="N676" s="8">
        <f>IFERROR(__xludf.DUMMYFUNCTION("""COMPUTED_VALUE"""),70.0)</f>
        <v>70</v>
      </c>
      <c r="O676" s="8"/>
      <c r="P676" s="8"/>
      <c r="Q676" s="8"/>
      <c r="R676" s="8"/>
      <c r="S676" s="8"/>
      <c r="T676" s="8"/>
      <c r="U676" s="8"/>
      <c r="V676" s="8"/>
      <c r="W676" s="8"/>
      <c r="X676" s="8"/>
      <c r="Y676" s="8"/>
      <c r="Z676" s="8"/>
    </row>
    <row r="677">
      <c r="A677" s="8">
        <f>IFERROR(__xludf.DUMMYFUNCTION("""COMPUTED_VALUE"""),1087.0)</f>
        <v>1087</v>
      </c>
      <c r="B677" s="8" t="str">
        <f>IFERROR(__xludf.DUMMYFUNCTION("""COMPUTED_VALUE"""),"tree")</f>
        <v>tree</v>
      </c>
      <c r="C677" s="8" t="str">
        <f>IFERROR(__xludf.DUMMYFUNCTION("""COMPUTED_VALUE"""),"graft")</f>
        <v>graft</v>
      </c>
      <c r="D677" s="55" t="str">
        <f>IFERROR(__xludf.DUMMYFUNCTION("""COMPUTED_VALUE"""),"Annona muricata")</f>
        <v>Annona muricata</v>
      </c>
      <c r="E677" s="8" t="str">
        <f>IFERROR(__xludf.DUMMYFUNCTION("""COMPUTED_VALUE"""),"Golden")</f>
        <v>Golden</v>
      </c>
      <c r="F677" s="8" t="str">
        <f>IFERROR(__xludf.DUMMYFUNCTION("""COMPUTED_VALUE"""),"Soursop")</f>
        <v>Soursop</v>
      </c>
      <c r="G677" s="8" t="str">
        <f>IFERROR(__xludf.DUMMYFUNCTION("""COMPUTED_VALUE"""),"Corossol")</f>
        <v>Corossol</v>
      </c>
      <c r="H677" s="8" t="str">
        <f>IFERROR(__xludf.DUMMYFUNCTION("""COMPUTED_VALUE"""),"seed")</f>
        <v>seed</v>
      </c>
      <c r="I677" s="8"/>
      <c r="J677" s="8"/>
      <c r="K677" s="8"/>
      <c r="L677" s="8" t="str">
        <f>IFERROR(__xludf.DUMMYFUNCTION("""COMPUTED_VALUE"""),"multiple")</f>
        <v>multiple</v>
      </c>
      <c r="M677" s="8">
        <f>IFERROR(__xludf.DUMMYFUNCTION("""COMPUTED_VALUE"""),0.0)</f>
        <v>0</v>
      </c>
      <c r="N677" s="8">
        <f>IFERROR(__xludf.DUMMYFUNCTION("""COMPUTED_VALUE"""),70.0)</f>
        <v>70</v>
      </c>
      <c r="O677" s="8"/>
      <c r="P677" s="8"/>
      <c r="Q677" s="8"/>
      <c r="R677" s="8"/>
      <c r="S677" s="8"/>
      <c r="T677" s="8"/>
      <c r="U677" s="8"/>
      <c r="V677" s="8"/>
      <c r="W677" s="8"/>
      <c r="X677" s="8"/>
      <c r="Y677" s="8"/>
      <c r="Z677" s="8"/>
    </row>
    <row r="678">
      <c r="A678" s="8">
        <f>IFERROR(__xludf.DUMMYFUNCTION("""COMPUTED_VALUE"""),1088.0)</f>
        <v>1088</v>
      </c>
      <c r="B678" s="8" t="str">
        <f>IFERROR(__xludf.DUMMYFUNCTION("""COMPUTED_VALUE"""),"tree")</f>
        <v>tree</v>
      </c>
      <c r="C678" s="8" t="str">
        <f>IFERROR(__xludf.DUMMYFUNCTION("""COMPUTED_VALUE"""),"graft")</f>
        <v>graft</v>
      </c>
      <c r="D678" s="55" t="str">
        <f>IFERROR(__xludf.DUMMYFUNCTION("""COMPUTED_VALUE"""),"Annona muricata")</f>
        <v>Annona muricata</v>
      </c>
      <c r="E678" s="8" t="str">
        <f>IFERROR(__xludf.DUMMYFUNCTION("""COMPUTED_VALUE"""),"Golden")</f>
        <v>Golden</v>
      </c>
      <c r="F678" s="8" t="str">
        <f>IFERROR(__xludf.DUMMYFUNCTION("""COMPUTED_VALUE"""),"Soursop")</f>
        <v>Soursop</v>
      </c>
      <c r="G678" s="8" t="str">
        <f>IFERROR(__xludf.DUMMYFUNCTION("""COMPUTED_VALUE"""),"Corossol")</f>
        <v>Corossol</v>
      </c>
      <c r="H678" s="8" t="str">
        <f>IFERROR(__xludf.DUMMYFUNCTION("""COMPUTED_VALUE"""),"seed")</f>
        <v>seed</v>
      </c>
      <c r="I678" s="8"/>
      <c r="J678" s="8"/>
      <c r="K678" s="8"/>
      <c r="L678" s="8" t="str">
        <f>IFERROR(__xludf.DUMMYFUNCTION("""COMPUTED_VALUE"""),"multiple")</f>
        <v>multiple</v>
      </c>
      <c r="M678" s="8">
        <f>IFERROR(__xludf.DUMMYFUNCTION("""COMPUTED_VALUE"""),0.0)</f>
        <v>0</v>
      </c>
      <c r="N678" s="8">
        <f>IFERROR(__xludf.DUMMYFUNCTION("""COMPUTED_VALUE"""),70.0)</f>
        <v>70</v>
      </c>
      <c r="O678" s="8"/>
      <c r="P678" s="8"/>
      <c r="Q678" s="8"/>
      <c r="R678" s="8"/>
      <c r="S678" s="8"/>
      <c r="T678" s="8"/>
      <c r="U678" s="8"/>
      <c r="V678" s="8"/>
      <c r="W678" s="8"/>
      <c r="X678" s="8"/>
      <c r="Y678" s="8"/>
      <c r="Z678" s="8"/>
    </row>
    <row r="679">
      <c r="A679" s="8">
        <f>IFERROR(__xludf.DUMMYFUNCTION("""COMPUTED_VALUE"""),1089.0)</f>
        <v>1089</v>
      </c>
      <c r="B679" s="8" t="str">
        <f>IFERROR(__xludf.DUMMYFUNCTION("""COMPUTED_VALUE"""),"tree")</f>
        <v>tree</v>
      </c>
      <c r="C679" s="8" t="str">
        <f>IFERROR(__xludf.DUMMYFUNCTION("""COMPUTED_VALUE"""),"graft")</f>
        <v>graft</v>
      </c>
      <c r="D679" s="55" t="str">
        <f>IFERROR(__xludf.DUMMYFUNCTION("""COMPUTED_VALUE"""),"Annona muricata")</f>
        <v>Annona muricata</v>
      </c>
      <c r="E679" s="8" t="str">
        <f>IFERROR(__xludf.DUMMYFUNCTION("""COMPUTED_VALUE"""),"Golden")</f>
        <v>Golden</v>
      </c>
      <c r="F679" s="8" t="str">
        <f>IFERROR(__xludf.DUMMYFUNCTION("""COMPUTED_VALUE"""),"Soursop")</f>
        <v>Soursop</v>
      </c>
      <c r="G679" s="8" t="str">
        <f>IFERROR(__xludf.DUMMYFUNCTION("""COMPUTED_VALUE"""),"Corossol")</f>
        <v>Corossol</v>
      </c>
      <c r="H679" s="8" t="str">
        <f>IFERROR(__xludf.DUMMYFUNCTION("""COMPUTED_VALUE"""),"seed")</f>
        <v>seed</v>
      </c>
      <c r="I679" s="8"/>
      <c r="J679" s="8"/>
      <c r="K679" s="8"/>
      <c r="L679" s="8" t="str">
        <f>IFERROR(__xludf.DUMMYFUNCTION("""COMPUTED_VALUE"""),"multiple")</f>
        <v>multiple</v>
      </c>
      <c r="M679" s="8">
        <f>IFERROR(__xludf.DUMMYFUNCTION("""COMPUTED_VALUE"""),0.0)</f>
        <v>0</v>
      </c>
      <c r="N679" s="8">
        <f>IFERROR(__xludf.DUMMYFUNCTION("""COMPUTED_VALUE"""),70.0)</f>
        <v>70</v>
      </c>
      <c r="O679" s="8"/>
      <c r="P679" s="8"/>
      <c r="Q679" s="8"/>
      <c r="R679" s="8"/>
      <c r="S679" s="8"/>
      <c r="T679" s="8"/>
      <c r="U679" s="8"/>
      <c r="V679" s="8"/>
      <c r="W679" s="8"/>
      <c r="X679" s="8"/>
      <c r="Y679" s="8"/>
      <c r="Z679" s="8"/>
    </row>
    <row r="680">
      <c r="A680" s="8">
        <f>IFERROR(__xludf.DUMMYFUNCTION("""COMPUTED_VALUE"""),1090.0)</f>
        <v>1090</v>
      </c>
      <c r="B680" s="8" t="str">
        <f>IFERROR(__xludf.DUMMYFUNCTION("""COMPUTED_VALUE"""),"tree")</f>
        <v>tree</v>
      </c>
      <c r="C680" s="8" t="str">
        <f>IFERROR(__xludf.DUMMYFUNCTION("""COMPUTED_VALUE"""),"sucker")</f>
        <v>sucker</v>
      </c>
      <c r="D680" s="55" t="str">
        <f>IFERROR(__xludf.DUMMYFUNCTION("""COMPUTED_VALUE"""),"Salacca zalacca")</f>
        <v>Salacca zalacca</v>
      </c>
      <c r="E680" s="8" t="str">
        <f>IFERROR(__xludf.DUMMYFUNCTION("""COMPUTED_VALUE"""),"Pondoh")</f>
        <v>Pondoh</v>
      </c>
      <c r="F680" s="8" t="str">
        <f>IFERROR(__xludf.DUMMYFUNCTION("""COMPUTED_VALUE"""),"Snake Fruit (Salak)")</f>
        <v>Snake Fruit (Salak)</v>
      </c>
      <c r="G680" s="8" t="str">
        <f>IFERROR(__xludf.DUMMYFUNCTION("""COMPUTED_VALUE"""),"Fruit du serpent (Salak)")</f>
        <v>Fruit du serpent (Salak)</v>
      </c>
      <c r="H680" s="8" t="str">
        <f>IFERROR(__xludf.DUMMYFUNCTION("""COMPUTED_VALUE"""),"seed")</f>
        <v>seed</v>
      </c>
      <c r="I680" s="8"/>
      <c r="J680" s="8"/>
      <c r="K680" s="8"/>
      <c r="L680" s="8"/>
      <c r="M680" s="8">
        <f>IFERROR(__xludf.DUMMYFUNCTION("""COMPUTED_VALUE"""),0.0)</f>
        <v>0</v>
      </c>
      <c r="N680" s="8">
        <f>IFERROR(__xludf.DUMMYFUNCTION("""COMPUTED_VALUE"""),38.0)</f>
        <v>38</v>
      </c>
      <c r="O680" s="8"/>
      <c r="P680" s="8"/>
      <c r="Q680" s="8"/>
      <c r="R680" s="8"/>
      <c r="S680" s="8"/>
      <c r="T680" s="8"/>
      <c r="U680" s="8"/>
      <c r="V680" s="8"/>
      <c r="W680" s="8"/>
      <c r="X680" s="8"/>
      <c r="Y680" s="8"/>
      <c r="Z680" s="8"/>
    </row>
    <row r="681">
      <c r="A681" s="8">
        <f>IFERROR(__xludf.DUMMYFUNCTION("""COMPUTED_VALUE"""),1091.0)</f>
        <v>1091</v>
      </c>
      <c r="B681" s="8" t="str">
        <f>IFERROR(__xludf.DUMMYFUNCTION("""COMPUTED_VALUE"""),"tree")</f>
        <v>tree</v>
      </c>
      <c r="C681" s="8" t="str">
        <f>IFERROR(__xludf.DUMMYFUNCTION("""COMPUTED_VALUE"""),"sucker")</f>
        <v>sucker</v>
      </c>
      <c r="D681" s="55" t="str">
        <f>IFERROR(__xludf.DUMMYFUNCTION("""COMPUTED_VALUE"""),"Salacca zalacca")</f>
        <v>Salacca zalacca</v>
      </c>
      <c r="E681" s="8" t="str">
        <f>IFERROR(__xludf.DUMMYFUNCTION("""COMPUTED_VALUE"""),"Pondoh")</f>
        <v>Pondoh</v>
      </c>
      <c r="F681" s="8" t="str">
        <f>IFERROR(__xludf.DUMMYFUNCTION("""COMPUTED_VALUE"""),"Snake Fruit (Salak)")</f>
        <v>Snake Fruit (Salak)</v>
      </c>
      <c r="G681" s="8" t="str">
        <f>IFERROR(__xludf.DUMMYFUNCTION("""COMPUTED_VALUE"""),"Fruit du serpent (Salak)")</f>
        <v>Fruit du serpent (Salak)</v>
      </c>
      <c r="H681" s="8" t="str">
        <f>IFERROR(__xludf.DUMMYFUNCTION("""COMPUTED_VALUE"""),"seed")</f>
        <v>seed</v>
      </c>
      <c r="I681" s="8"/>
      <c r="J681" s="8"/>
      <c r="K681" s="8"/>
      <c r="L681" s="8"/>
      <c r="M681" s="8">
        <f>IFERROR(__xludf.DUMMYFUNCTION("""COMPUTED_VALUE"""),0.0)</f>
        <v>0</v>
      </c>
      <c r="N681" s="8">
        <f>IFERROR(__xludf.DUMMYFUNCTION("""COMPUTED_VALUE"""),38.0)</f>
        <v>38</v>
      </c>
      <c r="O681" s="8"/>
      <c r="P681" s="8"/>
      <c r="Q681" s="8"/>
      <c r="R681" s="8"/>
      <c r="S681" s="8"/>
      <c r="T681" s="8"/>
      <c r="U681" s="8"/>
      <c r="V681" s="8"/>
      <c r="W681" s="8"/>
      <c r="X681" s="8"/>
      <c r="Y681" s="8"/>
      <c r="Z681" s="8"/>
    </row>
    <row r="682">
      <c r="A682" s="8">
        <f>IFERROR(__xludf.DUMMYFUNCTION("""COMPUTED_VALUE"""),1092.0)</f>
        <v>1092</v>
      </c>
      <c r="B682" s="8" t="str">
        <f>IFERROR(__xludf.DUMMYFUNCTION("""COMPUTED_VALUE"""),"tree")</f>
        <v>tree</v>
      </c>
      <c r="C682" s="8" t="str">
        <f>IFERROR(__xludf.DUMMYFUNCTION("""COMPUTED_VALUE"""),"sucker")</f>
        <v>sucker</v>
      </c>
      <c r="D682" s="55" t="str">
        <f>IFERROR(__xludf.DUMMYFUNCTION("""COMPUTED_VALUE"""),"Salacca zalacca")</f>
        <v>Salacca zalacca</v>
      </c>
      <c r="E682" s="8" t="str">
        <f>IFERROR(__xludf.DUMMYFUNCTION("""COMPUTED_VALUE"""),"Pondoh")</f>
        <v>Pondoh</v>
      </c>
      <c r="F682" s="8" t="str">
        <f>IFERROR(__xludf.DUMMYFUNCTION("""COMPUTED_VALUE"""),"Snake Fruit (Salak)")</f>
        <v>Snake Fruit (Salak)</v>
      </c>
      <c r="G682" s="8" t="str">
        <f>IFERROR(__xludf.DUMMYFUNCTION("""COMPUTED_VALUE"""),"Fruit du serpent (Salak)")</f>
        <v>Fruit du serpent (Salak)</v>
      </c>
      <c r="H682" s="8" t="str">
        <f>IFERROR(__xludf.DUMMYFUNCTION("""COMPUTED_VALUE"""),"seed")</f>
        <v>seed</v>
      </c>
      <c r="I682" s="8"/>
      <c r="J682" s="8"/>
      <c r="K682" s="8"/>
      <c r="L682" s="8"/>
      <c r="M682" s="8">
        <f>IFERROR(__xludf.DUMMYFUNCTION("""COMPUTED_VALUE"""),0.0)</f>
        <v>0</v>
      </c>
      <c r="N682" s="8">
        <f>IFERROR(__xludf.DUMMYFUNCTION("""COMPUTED_VALUE"""),38.0)</f>
        <v>38</v>
      </c>
      <c r="O682" s="8"/>
      <c r="P682" s="8"/>
      <c r="Q682" s="8"/>
      <c r="R682" s="8"/>
      <c r="S682" s="8"/>
      <c r="T682" s="8"/>
      <c r="U682" s="8"/>
      <c r="V682" s="8"/>
      <c r="W682" s="8"/>
      <c r="X682" s="8"/>
      <c r="Y682" s="8"/>
      <c r="Z682" s="8"/>
    </row>
    <row r="683">
      <c r="A683" s="8">
        <f>IFERROR(__xludf.DUMMYFUNCTION("""COMPUTED_VALUE"""),1093.0)</f>
        <v>1093</v>
      </c>
      <c r="B683" s="8" t="str">
        <f>IFERROR(__xludf.DUMMYFUNCTION("""COMPUTED_VALUE"""),"tree")</f>
        <v>tree</v>
      </c>
      <c r="C683" s="8" t="str">
        <f>IFERROR(__xludf.DUMMYFUNCTION("""COMPUTED_VALUE"""),"sucker")</f>
        <v>sucker</v>
      </c>
      <c r="D683" s="55" t="str">
        <f>IFERROR(__xludf.DUMMYFUNCTION("""COMPUTED_VALUE"""),"Salacca zalacca")</f>
        <v>Salacca zalacca</v>
      </c>
      <c r="E683" s="8" t="str">
        <f>IFERROR(__xludf.DUMMYFUNCTION("""COMPUTED_VALUE"""),"Pondoh")</f>
        <v>Pondoh</v>
      </c>
      <c r="F683" s="8" t="str">
        <f>IFERROR(__xludf.DUMMYFUNCTION("""COMPUTED_VALUE"""),"Snake Fruit (Salak)")</f>
        <v>Snake Fruit (Salak)</v>
      </c>
      <c r="G683" s="8" t="str">
        <f>IFERROR(__xludf.DUMMYFUNCTION("""COMPUTED_VALUE"""),"Fruit du serpent (Salak)")</f>
        <v>Fruit du serpent (Salak)</v>
      </c>
      <c r="H683" s="8" t="str">
        <f>IFERROR(__xludf.DUMMYFUNCTION("""COMPUTED_VALUE"""),"seed")</f>
        <v>seed</v>
      </c>
      <c r="I683" s="8"/>
      <c r="J683" s="8"/>
      <c r="K683" s="8"/>
      <c r="L683" s="8"/>
      <c r="M683" s="8">
        <f>IFERROR(__xludf.DUMMYFUNCTION("""COMPUTED_VALUE"""),0.0)</f>
        <v>0</v>
      </c>
      <c r="N683" s="8">
        <f>IFERROR(__xludf.DUMMYFUNCTION("""COMPUTED_VALUE"""),38.0)</f>
        <v>38</v>
      </c>
      <c r="O683" s="8"/>
      <c r="P683" s="8"/>
      <c r="Q683" s="8"/>
      <c r="R683" s="8"/>
      <c r="S683" s="8"/>
      <c r="T683" s="8"/>
      <c r="U683" s="8"/>
      <c r="V683" s="8"/>
      <c r="W683" s="8"/>
      <c r="X683" s="8"/>
      <c r="Y683" s="8"/>
      <c r="Z683" s="8"/>
    </row>
    <row r="684">
      <c r="A684" s="8">
        <f>IFERROR(__xludf.DUMMYFUNCTION("""COMPUTED_VALUE"""),1094.0)</f>
        <v>1094</v>
      </c>
      <c r="B684" s="8" t="str">
        <f>IFERROR(__xludf.DUMMYFUNCTION("""COMPUTED_VALUE"""),"tree")</f>
        <v>tree</v>
      </c>
      <c r="C684" s="8" t="str">
        <f>IFERROR(__xludf.DUMMYFUNCTION("""COMPUTED_VALUE"""),"sucker")</f>
        <v>sucker</v>
      </c>
      <c r="D684" s="55" t="str">
        <f>IFERROR(__xludf.DUMMYFUNCTION("""COMPUTED_VALUE"""),"Salacca zalacca")</f>
        <v>Salacca zalacca</v>
      </c>
      <c r="E684" s="8" t="str">
        <f>IFERROR(__xludf.DUMMYFUNCTION("""COMPUTED_VALUE"""),"Pondoh")</f>
        <v>Pondoh</v>
      </c>
      <c r="F684" s="8" t="str">
        <f>IFERROR(__xludf.DUMMYFUNCTION("""COMPUTED_VALUE"""),"Snake Fruit (Salak)")</f>
        <v>Snake Fruit (Salak)</v>
      </c>
      <c r="G684" s="8" t="str">
        <f>IFERROR(__xludf.DUMMYFUNCTION("""COMPUTED_VALUE"""),"Fruit du serpent (Salak)")</f>
        <v>Fruit du serpent (Salak)</v>
      </c>
      <c r="H684" s="8" t="str">
        <f>IFERROR(__xludf.DUMMYFUNCTION("""COMPUTED_VALUE"""),"seed")</f>
        <v>seed</v>
      </c>
      <c r="I684" s="8"/>
      <c r="J684" s="8"/>
      <c r="K684" s="8"/>
      <c r="L684" s="8"/>
      <c r="M684" s="8">
        <f>IFERROR(__xludf.DUMMYFUNCTION("""COMPUTED_VALUE"""),0.0)</f>
        <v>0</v>
      </c>
      <c r="N684" s="8">
        <f>IFERROR(__xludf.DUMMYFUNCTION("""COMPUTED_VALUE"""),38.0)</f>
        <v>38</v>
      </c>
      <c r="O684" s="8"/>
      <c r="P684" s="8"/>
      <c r="Q684" s="8"/>
      <c r="R684" s="8"/>
      <c r="S684" s="8"/>
      <c r="T684" s="8"/>
      <c r="U684" s="8"/>
      <c r="V684" s="8"/>
      <c r="W684" s="8"/>
      <c r="X684" s="8"/>
      <c r="Y684" s="8"/>
      <c r="Z684" s="8"/>
    </row>
    <row r="685">
      <c r="A685" s="8">
        <f>IFERROR(__xludf.DUMMYFUNCTION("""COMPUTED_VALUE"""),1095.0)</f>
        <v>1095</v>
      </c>
      <c r="B685" s="8" t="str">
        <f>IFERROR(__xludf.DUMMYFUNCTION("""COMPUTED_VALUE"""),"tree")</f>
        <v>tree</v>
      </c>
      <c r="C685" s="8" t="str">
        <f>IFERROR(__xludf.DUMMYFUNCTION("""COMPUTED_VALUE"""),"sucker")</f>
        <v>sucker</v>
      </c>
      <c r="D685" s="55" t="str">
        <f>IFERROR(__xludf.DUMMYFUNCTION("""COMPUTED_VALUE"""),"Salacca zalacca")</f>
        <v>Salacca zalacca</v>
      </c>
      <c r="E685" s="8" t="str">
        <f>IFERROR(__xludf.DUMMYFUNCTION("""COMPUTED_VALUE"""),"Pondoh")</f>
        <v>Pondoh</v>
      </c>
      <c r="F685" s="8" t="str">
        <f>IFERROR(__xludf.DUMMYFUNCTION("""COMPUTED_VALUE"""),"Snake Fruit (Salak)")</f>
        <v>Snake Fruit (Salak)</v>
      </c>
      <c r="G685" s="8" t="str">
        <f>IFERROR(__xludf.DUMMYFUNCTION("""COMPUTED_VALUE"""),"Fruit du serpent (Salak)")</f>
        <v>Fruit du serpent (Salak)</v>
      </c>
      <c r="H685" s="8" t="str">
        <f>IFERROR(__xludf.DUMMYFUNCTION("""COMPUTED_VALUE"""),"seed")</f>
        <v>seed</v>
      </c>
      <c r="I685" s="8"/>
      <c r="J685" s="8"/>
      <c r="K685" s="8"/>
      <c r="L685" s="8"/>
      <c r="M685" s="8">
        <f>IFERROR(__xludf.DUMMYFUNCTION("""COMPUTED_VALUE"""),0.0)</f>
        <v>0</v>
      </c>
      <c r="N685" s="8">
        <f>IFERROR(__xludf.DUMMYFUNCTION("""COMPUTED_VALUE"""),38.0)</f>
        <v>38</v>
      </c>
      <c r="O685" s="8"/>
      <c r="P685" s="8"/>
      <c r="Q685" s="8"/>
      <c r="R685" s="8"/>
      <c r="S685" s="8"/>
      <c r="T685" s="8"/>
      <c r="U685" s="8"/>
      <c r="V685" s="8"/>
      <c r="W685" s="8"/>
      <c r="X685" s="8"/>
      <c r="Y685" s="8"/>
      <c r="Z685" s="8"/>
    </row>
    <row r="686">
      <c r="A686" s="8">
        <f>IFERROR(__xludf.DUMMYFUNCTION("""COMPUTED_VALUE"""),1096.0)</f>
        <v>1096</v>
      </c>
      <c r="B686" s="8" t="str">
        <f>IFERROR(__xludf.DUMMYFUNCTION("""COMPUTED_VALUE"""),"tree")</f>
        <v>tree</v>
      </c>
      <c r="C686" s="8" t="str">
        <f>IFERROR(__xludf.DUMMYFUNCTION("""COMPUTED_VALUE"""),"sucker")</f>
        <v>sucker</v>
      </c>
      <c r="D686" s="55" t="str">
        <f>IFERROR(__xludf.DUMMYFUNCTION("""COMPUTED_VALUE"""),"Salacca zalacca")</f>
        <v>Salacca zalacca</v>
      </c>
      <c r="E686" s="8" t="str">
        <f>IFERROR(__xludf.DUMMYFUNCTION("""COMPUTED_VALUE"""),"Pondoh")</f>
        <v>Pondoh</v>
      </c>
      <c r="F686" s="8" t="str">
        <f>IFERROR(__xludf.DUMMYFUNCTION("""COMPUTED_VALUE"""),"Snake Fruit (Salak)")</f>
        <v>Snake Fruit (Salak)</v>
      </c>
      <c r="G686" s="8" t="str">
        <f>IFERROR(__xludf.DUMMYFUNCTION("""COMPUTED_VALUE"""),"Fruit du serpent (Salak)")</f>
        <v>Fruit du serpent (Salak)</v>
      </c>
      <c r="H686" s="8" t="str">
        <f>IFERROR(__xludf.DUMMYFUNCTION("""COMPUTED_VALUE"""),"seed")</f>
        <v>seed</v>
      </c>
      <c r="I686" s="8"/>
      <c r="J686" s="8"/>
      <c r="K686" s="8"/>
      <c r="L686" s="8"/>
      <c r="M686" s="8">
        <f>IFERROR(__xludf.DUMMYFUNCTION("""COMPUTED_VALUE"""),0.0)</f>
        <v>0</v>
      </c>
      <c r="N686" s="8">
        <f>IFERROR(__xludf.DUMMYFUNCTION("""COMPUTED_VALUE"""),38.0)</f>
        <v>38</v>
      </c>
      <c r="O686" s="8"/>
      <c r="P686" s="8"/>
      <c r="Q686" s="8"/>
      <c r="R686" s="8"/>
      <c r="S686" s="8"/>
      <c r="T686" s="8"/>
      <c r="U686" s="8"/>
      <c r="V686" s="8"/>
      <c r="W686" s="8"/>
      <c r="X686" s="8"/>
      <c r="Y686" s="8"/>
      <c r="Z686" s="8"/>
    </row>
    <row r="687">
      <c r="A687" s="8">
        <f>IFERROR(__xludf.DUMMYFUNCTION("""COMPUTED_VALUE"""),1097.0)</f>
        <v>1097</v>
      </c>
      <c r="B687" s="8" t="str">
        <f>IFERROR(__xludf.DUMMYFUNCTION("""COMPUTED_VALUE"""),"tree")</f>
        <v>tree</v>
      </c>
      <c r="C687" s="8" t="str">
        <f>IFERROR(__xludf.DUMMYFUNCTION("""COMPUTED_VALUE"""),"sucker")</f>
        <v>sucker</v>
      </c>
      <c r="D687" s="55" t="str">
        <f>IFERROR(__xludf.DUMMYFUNCTION("""COMPUTED_VALUE"""),"Salacca zalacca")</f>
        <v>Salacca zalacca</v>
      </c>
      <c r="E687" s="8" t="str">
        <f>IFERROR(__xludf.DUMMYFUNCTION("""COMPUTED_VALUE"""),"Pondoh")</f>
        <v>Pondoh</v>
      </c>
      <c r="F687" s="8" t="str">
        <f>IFERROR(__xludf.DUMMYFUNCTION("""COMPUTED_VALUE"""),"Snake Fruit (Salak)")</f>
        <v>Snake Fruit (Salak)</v>
      </c>
      <c r="G687" s="8" t="str">
        <f>IFERROR(__xludf.DUMMYFUNCTION("""COMPUTED_VALUE"""),"Fruit du serpent (Salak)")</f>
        <v>Fruit du serpent (Salak)</v>
      </c>
      <c r="H687" s="8" t="str">
        <f>IFERROR(__xludf.DUMMYFUNCTION("""COMPUTED_VALUE"""),"seed")</f>
        <v>seed</v>
      </c>
      <c r="I687" s="8"/>
      <c r="J687" s="8"/>
      <c r="K687" s="8"/>
      <c r="L687" s="8"/>
      <c r="M687" s="8">
        <f>IFERROR(__xludf.DUMMYFUNCTION("""COMPUTED_VALUE"""),0.0)</f>
        <v>0</v>
      </c>
      <c r="N687" s="8">
        <f>IFERROR(__xludf.DUMMYFUNCTION("""COMPUTED_VALUE"""),38.0)</f>
        <v>38</v>
      </c>
      <c r="O687" s="8"/>
      <c r="P687" s="8"/>
      <c r="Q687" s="8"/>
      <c r="R687" s="8"/>
      <c r="S687" s="8"/>
      <c r="T687" s="8"/>
      <c r="U687" s="8"/>
      <c r="V687" s="8"/>
      <c r="W687" s="8"/>
      <c r="X687" s="8"/>
      <c r="Y687" s="8"/>
      <c r="Z687" s="8"/>
    </row>
    <row r="688">
      <c r="A688" s="8">
        <f>IFERROR(__xludf.DUMMYFUNCTION("""COMPUTED_VALUE"""),1098.0)</f>
        <v>1098</v>
      </c>
      <c r="B688" s="8" t="str">
        <f>IFERROR(__xludf.DUMMYFUNCTION("""COMPUTED_VALUE"""),"tree")</f>
        <v>tree</v>
      </c>
      <c r="C688" s="8" t="str">
        <f>IFERROR(__xludf.DUMMYFUNCTION("""COMPUTED_VALUE"""),"sucker")</f>
        <v>sucker</v>
      </c>
      <c r="D688" s="55" t="str">
        <f>IFERROR(__xludf.DUMMYFUNCTION("""COMPUTED_VALUE"""),"Salacca zalacca")</f>
        <v>Salacca zalacca</v>
      </c>
      <c r="E688" s="8" t="str">
        <f>IFERROR(__xludf.DUMMYFUNCTION("""COMPUTED_VALUE"""),"Pondoh")</f>
        <v>Pondoh</v>
      </c>
      <c r="F688" s="8" t="str">
        <f>IFERROR(__xludf.DUMMYFUNCTION("""COMPUTED_VALUE"""),"Snake Fruit (Salak)")</f>
        <v>Snake Fruit (Salak)</v>
      </c>
      <c r="G688" s="8" t="str">
        <f>IFERROR(__xludf.DUMMYFUNCTION("""COMPUTED_VALUE"""),"Fruit du serpent (Salak)")</f>
        <v>Fruit du serpent (Salak)</v>
      </c>
      <c r="H688" s="8" t="str">
        <f>IFERROR(__xludf.DUMMYFUNCTION("""COMPUTED_VALUE"""),"seed")</f>
        <v>seed</v>
      </c>
      <c r="I688" s="8"/>
      <c r="J688" s="8"/>
      <c r="K688" s="8"/>
      <c r="L688" s="8"/>
      <c r="M688" s="8">
        <f>IFERROR(__xludf.DUMMYFUNCTION("""COMPUTED_VALUE"""),0.0)</f>
        <v>0</v>
      </c>
      <c r="N688" s="8">
        <f>IFERROR(__xludf.DUMMYFUNCTION("""COMPUTED_VALUE"""),38.0)</f>
        <v>38</v>
      </c>
      <c r="O688" s="8"/>
      <c r="P688" s="8"/>
      <c r="Q688" s="8"/>
      <c r="R688" s="8"/>
      <c r="S688" s="8"/>
      <c r="T688" s="8"/>
      <c r="U688" s="8"/>
      <c r="V688" s="8"/>
      <c r="W688" s="8"/>
      <c r="X688" s="8"/>
      <c r="Y688" s="8"/>
      <c r="Z688" s="8"/>
    </row>
    <row r="689">
      <c r="A689" s="8">
        <f>IFERROR(__xludf.DUMMYFUNCTION("""COMPUTED_VALUE"""),1099.0)</f>
        <v>1099</v>
      </c>
      <c r="B689" s="8" t="str">
        <f>IFERROR(__xludf.DUMMYFUNCTION("""COMPUTED_VALUE"""),"tree")</f>
        <v>tree</v>
      </c>
      <c r="C689" s="8" t="str">
        <f>IFERROR(__xludf.DUMMYFUNCTION("""COMPUTED_VALUE"""),"sucker")</f>
        <v>sucker</v>
      </c>
      <c r="D689" s="55" t="str">
        <f>IFERROR(__xludf.DUMMYFUNCTION("""COMPUTED_VALUE"""),"Salacca zalacca")</f>
        <v>Salacca zalacca</v>
      </c>
      <c r="E689" s="8" t="str">
        <f>IFERROR(__xludf.DUMMYFUNCTION("""COMPUTED_VALUE"""),"Pondoh")</f>
        <v>Pondoh</v>
      </c>
      <c r="F689" s="8" t="str">
        <f>IFERROR(__xludf.DUMMYFUNCTION("""COMPUTED_VALUE"""),"Snake Fruit (Salak)")</f>
        <v>Snake Fruit (Salak)</v>
      </c>
      <c r="G689" s="8" t="str">
        <f>IFERROR(__xludf.DUMMYFUNCTION("""COMPUTED_VALUE"""),"Fruit du serpent (Salak)")</f>
        <v>Fruit du serpent (Salak)</v>
      </c>
      <c r="H689" s="8" t="str">
        <f>IFERROR(__xludf.DUMMYFUNCTION("""COMPUTED_VALUE"""),"seed")</f>
        <v>seed</v>
      </c>
      <c r="I689" s="8"/>
      <c r="J689" s="8"/>
      <c r="K689" s="8"/>
      <c r="L689" s="8"/>
      <c r="M689" s="8">
        <f>IFERROR(__xludf.DUMMYFUNCTION("""COMPUTED_VALUE"""),0.0)</f>
        <v>0</v>
      </c>
      <c r="N689" s="8">
        <f>IFERROR(__xludf.DUMMYFUNCTION("""COMPUTED_VALUE"""),38.0)</f>
        <v>38</v>
      </c>
      <c r="O689" s="8"/>
      <c r="P689" s="8"/>
      <c r="Q689" s="8"/>
      <c r="R689" s="8"/>
      <c r="S689" s="8"/>
      <c r="T689" s="8"/>
      <c r="U689" s="8"/>
      <c r="V689" s="8"/>
      <c r="W689" s="8"/>
      <c r="X689" s="8"/>
      <c r="Y689" s="8"/>
      <c r="Z689" s="8"/>
    </row>
    <row r="690">
      <c r="A690" s="8">
        <f>IFERROR(__xludf.DUMMYFUNCTION("""COMPUTED_VALUE"""),1100.0)</f>
        <v>1100</v>
      </c>
      <c r="B690" s="8" t="str">
        <f>IFERROR(__xludf.DUMMYFUNCTION("""COMPUTED_VALUE"""),"tree")</f>
        <v>tree</v>
      </c>
      <c r="C690" s="8" t="str">
        <f>IFERROR(__xludf.DUMMYFUNCTION("""COMPUTED_VALUE"""),"sucker")</f>
        <v>sucker</v>
      </c>
      <c r="D690" s="55" t="str">
        <f>IFERROR(__xludf.DUMMYFUNCTION("""COMPUTED_VALUE"""),"Salacca zalacca")</f>
        <v>Salacca zalacca</v>
      </c>
      <c r="E690" s="8" t="str">
        <f>IFERROR(__xludf.DUMMYFUNCTION("""COMPUTED_VALUE"""),"Pondoh")</f>
        <v>Pondoh</v>
      </c>
      <c r="F690" s="8" t="str">
        <f>IFERROR(__xludf.DUMMYFUNCTION("""COMPUTED_VALUE"""),"Snake Fruit (Salak)")</f>
        <v>Snake Fruit (Salak)</v>
      </c>
      <c r="G690" s="8" t="str">
        <f>IFERROR(__xludf.DUMMYFUNCTION("""COMPUTED_VALUE"""),"Fruit du serpent (Salak)")</f>
        <v>Fruit du serpent (Salak)</v>
      </c>
      <c r="H690" s="8" t="str">
        <f>IFERROR(__xludf.DUMMYFUNCTION("""COMPUTED_VALUE"""),"seed")</f>
        <v>seed</v>
      </c>
      <c r="I690" s="8"/>
      <c r="J690" s="8"/>
      <c r="K690" s="8"/>
      <c r="L690" s="8"/>
      <c r="M690" s="8">
        <f>IFERROR(__xludf.DUMMYFUNCTION("""COMPUTED_VALUE"""),0.0)</f>
        <v>0</v>
      </c>
      <c r="N690" s="8">
        <f>IFERROR(__xludf.DUMMYFUNCTION("""COMPUTED_VALUE"""),38.0)</f>
        <v>38</v>
      </c>
      <c r="O690" s="8"/>
      <c r="P690" s="8"/>
      <c r="Q690" s="8"/>
      <c r="R690" s="8"/>
      <c r="S690" s="8"/>
      <c r="T690" s="8"/>
      <c r="U690" s="8"/>
      <c r="V690" s="8"/>
      <c r="W690" s="8"/>
      <c r="X690" s="8"/>
      <c r="Y690" s="8"/>
      <c r="Z690" s="8"/>
    </row>
    <row r="691">
      <c r="A691" s="8">
        <f>IFERROR(__xludf.DUMMYFUNCTION("""COMPUTED_VALUE"""),1101.0)</f>
        <v>1101</v>
      </c>
      <c r="B691" s="8" t="str">
        <f>IFERROR(__xludf.DUMMYFUNCTION("""COMPUTED_VALUE"""),"tree")</f>
        <v>tree</v>
      </c>
      <c r="C691" s="8" t="str">
        <f>IFERROR(__xludf.DUMMYFUNCTION("""COMPUTED_VALUE"""),"sucker")</f>
        <v>sucker</v>
      </c>
      <c r="D691" s="55" t="str">
        <f>IFERROR(__xludf.DUMMYFUNCTION("""COMPUTED_VALUE"""),"Salacca zalacca")</f>
        <v>Salacca zalacca</v>
      </c>
      <c r="E691" s="8" t="str">
        <f>IFERROR(__xludf.DUMMYFUNCTION("""COMPUTED_VALUE"""),"Pondoh")</f>
        <v>Pondoh</v>
      </c>
      <c r="F691" s="8" t="str">
        <f>IFERROR(__xludf.DUMMYFUNCTION("""COMPUTED_VALUE"""),"Snake Fruit (Salak)")</f>
        <v>Snake Fruit (Salak)</v>
      </c>
      <c r="G691" s="8" t="str">
        <f>IFERROR(__xludf.DUMMYFUNCTION("""COMPUTED_VALUE"""),"Fruit du serpent (Salak)")</f>
        <v>Fruit du serpent (Salak)</v>
      </c>
      <c r="H691" s="8" t="str">
        <f>IFERROR(__xludf.DUMMYFUNCTION("""COMPUTED_VALUE"""),"seed")</f>
        <v>seed</v>
      </c>
      <c r="I691" s="8"/>
      <c r="J691" s="8"/>
      <c r="K691" s="8"/>
      <c r="L691" s="8"/>
      <c r="M691" s="8">
        <f>IFERROR(__xludf.DUMMYFUNCTION("""COMPUTED_VALUE"""),0.0)</f>
        <v>0</v>
      </c>
      <c r="N691" s="8">
        <f>IFERROR(__xludf.DUMMYFUNCTION("""COMPUTED_VALUE"""),38.0)</f>
        <v>38</v>
      </c>
      <c r="O691" s="8"/>
      <c r="P691" s="8"/>
      <c r="Q691" s="8"/>
      <c r="R691" s="8"/>
      <c r="S691" s="8"/>
      <c r="T691" s="8"/>
      <c r="U691" s="8"/>
      <c r="V691" s="8"/>
      <c r="W691" s="8"/>
      <c r="X691" s="8"/>
      <c r="Y691" s="8"/>
      <c r="Z691" s="8"/>
    </row>
    <row r="692">
      <c r="A692" s="8">
        <f>IFERROR(__xludf.DUMMYFUNCTION("""COMPUTED_VALUE"""),1102.0)</f>
        <v>1102</v>
      </c>
      <c r="B692" s="8" t="str">
        <f>IFERROR(__xludf.DUMMYFUNCTION("""COMPUTED_VALUE"""),"tree")</f>
        <v>tree</v>
      </c>
      <c r="C692" s="8" t="str">
        <f>IFERROR(__xludf.DUMMYFUNCTION("""COMPUTED_VALUE"""),"sucker")</f>
        <v>sucker</v>
      </c>
      <c r="D692" s="55" t="str">
        <f>IFERROR(__xludf.DUMMYFUNCTION("""COMPUTED_VALUE"""),"Salacca zalacca")</f>
        <v>Salacca zalacca</v>
      </c>
      <c r="E692" s="8" t="str">
        <f>IFERROR(__xludf.DUMMYFUNCTION("""COMPUTED_VALUE"""),"Pondoh")</f>
        <v>Pondoh</v>
      </c>
      <c r="F692" s="8" t="str">
        <f>IFERROR(__xludf.DUMMYFUNCTION("""COMPUTED_VALUE"""),"Snake Fruit (Salak)")</f>
        <v>Snake Fruit (Salak)</v>
      </c>
      <c r="G692" s="8" t="str">
        <f>IFERROR(__xludf.DUMMYFUNCTION("""COMPUTED_VALUE"""),"Fruit du serpent (Salak)")</f>
        <v>Fruit du serpent (Salak)</v>
      </c>
      <c r="H692" s="8" t="str">
        <f>IFERROR(__xludf.DUMMYFUNCTION("""COMPUTED_VALUE"""),"seed")</f>
        <v>seed</v>
      </c>
      <c r="I692" s="8"/>
      <c r="J692" s="8"/>
      <c r="K692" s="8"/>
      <c r="L692" s="8"/>
      <c r="M692" s="8">
        <f>IFERROR(__xludf.DUMMYFUNCTION("""COMPUTED_VALUE"""),0.0)</f>
        <v>0</v>
      </c>
      <c r="N692" s="8">
        <f>IFERROR(__xludf.DUMMYFUNCTION("""COMPUTED_VALUE"""),38.0)</f>
        <v>38</v>
      </c>
      <c r="O692" s="8"/>
      <c r="P692" s="8"/>
      <c r="Q692" s="8"/>
      <c r="R692" s="8"/>
      <c r="S692" s="8"/>
      <c r="T692" s="8"/>
      <c r="U692" s="8"/>
      <c r="V692" s="8"/>
      <c r="W692" s="8"/>
      <c r="X692" s="8"/>
      <c r="Y692" s="8"/>
      <c r="Z692" s="8"/>
    </row>
    <row r="693">
      <c r="A693" s="8">
        <f>IFERROR(__xludf.DUMMYFUNCTION("""COMPUTED_VALUE"""),1103.0)</f>
        <v>1103</v>
      </c>
      <c r="B693" s="8" t="str">
        <f>IFERROR(__xludf.DUMMYFUNCTION("""COMPUTED_VALUE"""),"tree")</f>
        <v>tree</v>
      </c>
      <c r="C693" s="8" t="str">
        <f>IFERROR(__xludf.DUMMYFUNCTION("""COMPUTED_VALUE"""),"sucker")</f>
        <v>sucker</v>
      </c>
      <c r="D693" s="55" t="str">
        <f>IFERROR(__xludf.DUMMYFUNCTION("""COMPUTED_VALUE"""),"Salacca zalacca")</f>
        <v>Salacca zalacca</v>
      </c>
      <c r="E693" s="8" t="str">
        <f>IFERROR(__xludf.DUMMYFUNCTION("""COMPUTED_VALUE"""),"Pondoh")</f>
        <v>Pondoh</v>
      </c>
      <c r="F693" s="8" t="str">
        <f>IFERROR(__xludf.DUMMYFUNCTION("""COMPUTED_VALUE"""),"Snake Fruit (Salak)")</f>
        <v>Snake Fruit (Salak)</v>
      </c>
      <c r="G693" s="8" t="str">
        <f>IFERROR(__xludf.DUMMYFUNCTION("""COMPUTED_VALUE"""),"Fruit du serpent (Salak)")</f>
        <v>Fruit du serpent (Salak)</v>
      </c>
      <c r="H693" s="8" t="str">
        <f>IFERROR(__xludf.DUMMYFUNCTION("""COMPUTED_VALUE"""),"seed")</f>
        <v>seed</v>
      </c>
      <c r="I693" s="8"/>
      <c r="J693" s="8"/>
      <c r="K693" s="8"/>
      <c r="L693" s="8"/>
      <c r="M693" s="8">
        <f>IFERROR(__xludf.DUMMYFUNCTION("""COMPUTED_VALUE"""),0.0)</f>
        <v>0</v>
      </c>
      <c r="N693" s="8">
        <f>IFERROR(__xludf.DUMMYFUNCTION("""COMPUTED_VALUE"""),38.0)</f>
        <v>38</v>
      </c>
      <c r="O693" s="8"/>
      <c r="P693" s="8"/>
      <c r="Q693" s="8"/>
      <c r="R693" s="8"/>
      <c r="S693" s="8"/>
      <c r="T693" s="8"/>
      <c r="U693" s="8"/>
      <c r="V693" s="8"/>
      <c r="W693" s="8"/>
      <c r="X693" s="8"/>
      <c r="Y693" s="8"/>
      <c r="Z693" s="8"/>
    </row>
    <row r="694">
      <c r="A694" s="8">
        <f>IFERROR(__xludf.DUMMYFUNCTION("""COMPUTED_VALUE"""),1104.0)</f>
        <v>1104</v>
      </c>
      <c r="B694" s="8" t="str">
        <f>IFERROR(__xludf.DUMMYFUNCTION("""COMPUTED_VALUE"""),"tree")</f>
        <v>tree</v>
      </c>
      <c r="C694" s="8" t="str">
        <f>IFERROR(__xludf.DUMMYFUNCTION("""COMPUTED_VALUE"""),"sucker")</f>
        <v>sucker</v>
      </c>
      <c r="D694" s="55" t="str">
        <f>IFERROR(__xludf.DUMMYFUNCTION("""COMPUTED_VALUE"""),"Salacca zalacca")</f>
        <v>Salacca zalacca</v>
      </c>
      <c r="E694" s="8" t="str">
        <f>IFERROR(__xludf.DUMMYFUNCTION("""COMPUTED_VALUE"""),"Pondoh")</f>
        <v>Pondoh</v>
      </c>
      <c r="F694" s="8" t="str">
        <f>IFERROR(__xludf.DUMMYFUNCTION("""COMPUTED_VALUE"""),"Snake Fruit (Salak)")</f>
        <v>Snake Fruit (Salak)</v>
      </c>
      <c r="G694" s="8" t="str">
        <f>IFERROR(__xludf.DUMMYFUNCTION("""COMPUTED_VALUE"""),"Fruit du serpent (Salak)")</f>
        <v>Fruit du serpent (Salak)</v>
      </c>
      <c r="H694" s="8" t="str">
        <f>IFERROR(__xludf.DUMMYFUNCTION("""COMPUTED_VALUE"""),"seed")</f>
        <v>seed</v>
      </c>
      <c r="I694" s="8"/>
      <c r="J694" s="8"/>
      <c r="K694" s="8"/>
      <c r="L694" s="8"/>
      <c r="M694" s="8">
        <f>IFERROR(__xludf.DUMMYFUNCTION("""COMPUTED_VALUE"""),0.0)</f>
        <v>0</v>
      </c>
      <c r="N694" s="8">
        <f>IFERROR(__xludf.DUMMYFUNCTION("""COMPUTED_VALUE"""),38.0)</f>
        <v>38</v>
      </c>
      <c r="O694" s="8"/>
      <c r="P694" s="8"/>
      <c r="Q694" s="8"/>
      <c r="R694" s="8"/>
      <c r="S694" s="8"/>
      <c r="T694" s="8"/>
      <c r="U694" s="8"/>
      <c r="V694" s="8"/>
      <c r="W694" s="8"/>
      <c r="X694" s="8"/>
      <c r="Y694" s="8"/>
      <c r="Z694" s="8"/>
    </row>
    <row r="695">
      <c r="A695" s="8">
        <f>IFERROR(__xludf.DUMMYFUNCTION("""COMPUTED_VALUE"""),1105.0)</f>
        <v>1105</v>
      </c>
      <c r="B695" s="8" t="str">
        <f>IFERROR(__xludf.DUMMYFUNCTION("""COMPUTED_VALUE"""),"tree")</f>
        <v>tree</v>
      </c>
      <c r="C695" s="8" t="str">
        <f>IFERROR(__xludf.DUMMYFUNCTION("""COMPUTED_VALUE"""),"sucker")</f>
        <v>sucker</v>
      </c>
      <c r="D695" s="55" t="str">
        <f>IFERROR(__xludf.DUMMYFUNCTION("""COMPUTED_VALUE"""),"Salacca zalacca")</f>
        <v>Salacca zalacca</v>
      </c>
      <c r="E695" s="8" t="str">
        <f>IFERROR(__xludf.DUMMYFUNCTION("""COMPUTED_VALUE"""),"Pondoh")</f>
        <v>Pondoh</v>
      </c>
      <c r="F695" s="8" t="str">
        <f>IFERROR(__xludf.DUMMYFUNCTION("""COMPUTED_VALUE"""),"Snake Fruit (Salak)")</f>
        <v>Snake Fruit (Salak)</v>
      </c>
      <c r="G695" s="8" t="str">
        <f>IFERROR(__xludf.DUMMYFUNCTION("""COMPUTED_VALUE"""),"Fruit du serpent (Salak)")</f>
        <v>Fruit du serpent (Salak)</v>
      </c>
      <c r="H695" s="8" t="str">
        <f>IFERROR(__xludf.DUMMYFUNCTION("""COMPUTED_VALUE"""),"seed")</f>
        <v>seed</v>
      </c>
      <c r="I695" s="8"/>
      <c r="J695" s="8"/>
      <c r="K695" s="8"/>
      <c r="L695" s="8"/>
      <c r="M695" s="8">
        <f>IFERROR(__xludf.DUMMYFUNCTION("""COMPUTED_VALUE"""),0.0)</f>
        <v>0</v>
      </c>
      <c r="N695" s="8">
        <f>IFERROR(__xludf.DUMMYFUNCTION("""COMPUTED_VALUE"""),38.0)</f>
        <v>38</v>
      </c>
      <c r="O695" s="8"/>
      <c r="P695" s="8"/>
      <c r="Q695" s="8"/>
      <c r="R695" s="8"/>
      <c r="S695" s="8"/>
      <c r="T695" s="8"/>
      <c r="U695" s="8"/>
      <c r="V695" s="8"/>
      <c r="W695" s="8"/>
      <c r="X695" s="8"/>
      <c r="Y695" s="8"/>
      <c r="Z695" s="8"/>
    </row>
    <row r="696">
      <c r="A696" s="8">
        <f>IFERROR(__xludf.DUMMYFUNCTION("""COMPUTED_VALUE"""),1106.0)</f>
        <v>1106</v>
      </c>
      <c r="B696" s="8" t="str">
        <f>IFERROR(__xludf.DUMMYFUNCTION("""COMPUTED_VALUE"""),"tree")</f>
        <v>tree</v>
      </c>
      <c r="C696" s="8" t="str">
        <f>IFERROR(__xludf.DUMMYFUNCTION("""COMPUTED_VALUE"""),"sucker")</f>
        <v>sucker</v>
      </c>
      <c r="D696" s="55" t="str">
        <f>IFERROR(__xludf.DUMMYFUNCTION("""COMPUTED_VALUE"""),"Salacca zalacca")</f>
        <v>Salacca zalacca</v>
      </c>
      <c r="E696" s="8" t="str">
        <f>IFERROR(__xludf.DUMMYFUNCTION("""COMPUTED_VALUE"""),"Pondoh")</f>
        <v>Pondoh</v>
      </c>
      <c r="F696" s="8" t="str">
        <f>IFERROR(__xludf.DUMMYFUNCTION("""COMPUTED_VALUE"""),"Snake Fruit (Salak)")</f>
        <v>Snake Fruit (Salak)</v>
      </c>
      <c r="G696" s="8" t="str">
        <f>IFERROR(__xludf.DUMMYFUNCTION("""COMPUTED_VALUE"""),"Fruit du serpent (Salak)")</f>
        <v>Fruit du serpent (Salak)</v>
      </c>
      <c r="H696" s="8" t="str">
        <f>IFERROR(__xludf.DUMMYFUNCTION("""COMPUTED_VALUE"""),"seed")</f>
        <v>seed</v>
      </c>
      <c r="I696" s="8"/>
      <c r="J696" s="8"/>
      <c r="K696" s="8"/>
      <c r="L696" s="8"/>
      <c r="M696" s="8">
        <f>IFERROR(__xludf.DUMMYFUNCTION("""COMPUTED_VALUE"""),0.0)</f>
        <v>0</v>
      </c>
      <c r="N696" s="8">
        <f>IFERROR(__xludf.DUMMYFUNCTION("""COMPUTED_VALUE"""),38.0)</f>
        <v>38</v>
      </c>
      <c r="O696" s="8"/>
      <c r="P696" s="8"/>
      <c r="Q696" s="8"/>
      <c r="R696" s="8"/>
      <c r="S696" s="8"/>
      <c r="T696" s="8"/>
      <c r="U696" s="8"/>
      <c r="V696" s="8"/>
      <c r="W696" s="8"/>
      <c r="X696" s="8"/>
      <c r="Y696" s="8"/>
      <c r="Z696" s="8"/>
    </row>
    <row r="697">
      <c r="A697" s="8">
        <f>IFERROR(__xludf.DUMMYFUNCTION("""COMPUTED_VALUE"""),1107.0)</f>
        <v>1107</v>
      </c>
      <c r="B697" s="8" t="str">
        <f>IFERROR(__xludf.DUMMYFUNCTION("""COMPUTED_VALUE"""),"tree")</f>
        <v>tree</v>
      </c>
      <c r="C697" s="8" t="str">
        <f>IFERROR(__xludf.DUMMYFUNCTION("""COMPUTED_VALUE"""),"sucker")</f>
        <v>sucker</v>
      </c>
      <c r="D697" s="55" t="str">
        <f>IFERROR(__xludf.DUMMYFUNCTION("""COMPUTED_VALUE"""),"Salacca zalacca")</f>
        <v>Salacca zalacca</v>
      </c>
      <c r="E697" s="8" t="str">
        <f>IFERROR(__xludf.DUMMYFUNCTION("""COMPUTED_VALUE"""),"Pondoh")</f>
        <v>Pondoh</v>
      </c>
      <c r="F697" s="8" t="str">
        <f>IFERROR(__xludf.DUMMYFUNCTION("""COMPUTED_VALUE"""),"Snake Fruit (Salak)")</f>
        <v>Snake Fruit (Salak)</v>
      </c>
      <c r="G697" s="8" t="str">
        <f>IFERROR(__xludf.DUMMYFUNCTION("""COMPUTED_VALUE"""),"Fruit du serpent (Salak)")</f>
        <v>Fruit du serpent (Salak)</v>
      </c>
      <c r="H697" s="8" t="str">
        <f>IFERROR(__xludf.DUMMYFUNCTION("""COMPUTED_VALUE"""),"seed")</f>
        <v>seed</v>
      </c>
      <c r="I697" s="8"/>
      <c r="J697" s="8"/>
      <c r="K697" s="8"/>
      <c r="L697" s="8"/>
      <c r="M697" s="8">
        <f>IFERROR(__xludf.DUMMYFUNCTION("""COMPUTED_VALUE"""),0.0)</f>
        <v>0</v>
      </c>
      <c r="N697" s="8">
        <f>IFERROR(__xludf.DUMMYFUNCTION("""COMPUTED_VALUE"""),38.0)</f>
        <v>38</v>
      </c>
      <c r="O697" s="8"/>
      <c r="P697" s="8"/>
      <c r="Q697" s="8"/>
      <c r="R697" s="8"/>
      <c r="S697" s="8"/>
      <c r="T697" s="8"/>
      <c r="U697" s="8"/>
      <c r="V697" s="8"/>
      <c r="W697" s="8"/>
      <c r="X697" s="8"/>
      <c r="Y697" s="8"/>
      <c r="Z697" s="8"/>
    </row>
    <row r="698">
      <c r="A698" s="8">
        <f>IFERROR(__xludf.DUMMYFUNCTION("""COMPUTED_VALUE"""),1108.0)</f>
        <v>1108</v>
      </c>
      <c r="B698" s="8" t="str">
        <f>IFERROR(__xludf.DUMMYFUNCTION("""COMPUTED_VALUE"""),"tree")</f>
        <v>tree</v>
      </c>
      <c r="C698" s="8" t="str">
        <f>IFERROR(__xludf.DUMMYFUNCTION("""COMPUTED_VALUE"""),"sucker")</f>
        <v>sucker</v>
      </c>
      <c r="D698" s="55" t="str">
        <f>IFERROR(__xludf.DUMMYFUNCTION("""COMPUTED_VALUE"""),"Salacca zalacca")</f>
        <v>Salacca zalacca</v>
      </c>
      <c r="E698" s="8" t="str">
        <f>IFERROR(__xludf.DUMMYFUNCTION("""COMPUTED_VALUE"""),"Pondoh")</f>
        <v>Pondoh</v>
      </c>
      <c r="F698" s="8" t="str">
        <f>IFERROR(__xludf.DUMMYFUNCTION("""COMPUTED_VALUE"""),"Snake Fruit (Salak)")</f>
        <v>Snake Fruit (Salak)</v>
      </c>
      <c r="G698" s="8" t="str">
        <f>IFERROR(__xludf.DUMMYFUNCTION("""COMPUTED_VALUE"""),"Fruit du serpent (Salak)")</f>
        <v>Fruit du serpent (Salak)</v>
      </c>
      <c r="H698" s="8" t="str">
        <f>IFERROR(__xludf.DUMMYFUNCTION("""COMPUTED_VALUE"""),"seed")</f>
        <v>seed</v>
      </c>
      <c r="I698" s="8"/>
      <c r="J698" s="8"/>
      <c r="K698" s="8"/>
      <c r="L698" s="8"/>
      <c r="M698" s="8">
        <f>IFERROR(__xludf.DUMMYFUNCTION("""COMPUTED_VALUE"""),0.0)</f>
        <v>0</v>
      </c>
      <c r="N698" s="8">
        <f>IFERROR(__xludf.DUMMYFUNCTION("""COMPUTED_VALUE"""),38.0)</f>
        <v>38</v>
      </c>
      <c r="O698" s="8"/>
      <c r="P698" s="8"/>
      <c r="Q698" s="8"/>
      <c r="R698" s="8"/>
      <c r="S698" s="8"/>
      <c r="T698" s="8"/>
      <c r="U698" s="8"/>
      <c r="V698" s="8"/>
      <c r="W698" s="8"/>
      <c r="X698" s="8"/>
      <c r="Y698" s="8"/>
      <c r="Z698" s="8"/>
    </row>
    <row r="699">
      <c r="A699" s="8">
        <f>IFERROR(__xludf.DUMMYFUNCTION("""COMPUTED_VALUE"""),1109.0)</f>
        <v>1109</v>
      </c>
      <c r="B699" s="8" t="str">
        <f>IFERROR(__xludf.DUMMYFUNCTION("""COMPUTED_VALUE"""),"tree")</f>
        <v>tree</v>
      </c>
      <c r="C699" s="8" t="str">
        <f>IFERROR(__xludf.DUMMYFUNCTION("""COMPUTED_VALUE"""),"sucker")</f>
        <v>sucker</v>
      </c>
      <c r="D699" s="55" t="str">
        <f>IFERROR(__xludf.DUMMYFUNCTION("""COMPUTED_VALUE"""),"Salacca zalacca")</f>
        <v>Salacca zalacca</v>
      </c>
      <c r="E699" s="8" t="str">
        <f>IFERROR(__xludf.DUMMYFUNCTION("""COMPUTED_VALUE"""),"Pondoh")</f>
        <v>Pondoh</v>
      </c>
      <c r="F699" s="8" t="str">
        <f>IFERROR(__xludf.DUMMYFUNCTION("""COMPUTED_VALUE"""),"Snake Fruit (Salak)")</f>
        <v>Snake Fruit (Salak)</v>
      </c>
      <c r="G699" s="8" t="str">
        <f>IFERROR(__xludf.DUMMYFUNCTION("""COMPUTED_VALUE"""),"Fruit du serpent (Salak)")</f>
        <v>Fruit du serpent (Salak)</v>
      </c>
      <c r="H699" s="8" t="str">
        <f>IFERROR(__xludf.DUMMYFUNCTION("""COMPUTED_VALUE"""),"seed")</f>
        <v>seed</v>
      </c>
      <c r="I699" s="8"/>
      <c r="J699" s="8"/>
      <c r="K699" s="8"/>
      <c r="L699" s="8"/>
      <c r="M699" s="8">
        <f>IFERROR(__xludf.DUMMYFUNCTION("""COMPUTED_VALUE"""),0.0)</f>
        <v>0</v>
      </c>
      <c r="N699" s="8">
        <f>IFERROR(__xludf.DUMMYFUNCTION("""COMPUTED_VALUE"""),38.0)</f>
        <v>38</v>
      </c>
      <c r="O699" s="8"/>
      <c r="P699" s="8"/>
      <c r="Q699" s="8"/>
      <c r="R699" s="8"/>
      <c r="S699" s="8"/>
      <c r="T699" s="8"/>
      <c r="U699" s="8"/>
      <c r="V699" s="8"/>
      <c r="W699" s="8"/>
      <c r="X699" s="8"/>
      <c r="Y699" s="8"/>
      <c r="Z699" s="8"/>
    </row>
    <row r="700">
      <c r="A700" s="8">
        <f>IFERROR(__xludf.DUMMYFUNCTION("""COMPUTED_VALUE"""),1110.0)</f>
        <v>1110</v>
      </c>
      <c r="B700" s="8" t="str">
        <f>IFERROR(__xludf.DUMMYFUNCTION("""COMPUTED_VALUE"""),"tree")</f>
        <v>tree</v>
      </c>
      <c r="C700" s="8" t="str">
        <f>IFERROR(__xludf.DUMMYFUNCTION("""COMPUTED_VALUE"""),"sucker")</f>
        <v>sucker</v>
      </c>
      <c r="D700" s="55" t="str">
        <f>IFERROR(__xludf.DUMMYFUNCTION("""COMPUTED_VALUE"""),"Salacca zalacca")</f>
        <v>Salacca zalacca</v>
      </c>
      <c r="E700" s="8" t="str">
        <f>IFERROR(__xludf.DUMMYFUNCTION("""COMPUTED_VALUE"""),"Pondoh")</f>
        <v>Pondoh</v>
      </c>
      <c r="F700" s="8" t="str">
        <f>IFERROR(__xludf.DUMMYFUNCTION("""COMPUTED_VALUE"""),"Snake Fruit (Salak)")</f>
        <v>Snake Fruit (Salak)</v>
      </c>
      <c r="G700" s="8" t="str">
        <f>IFERROR(__xludf.DUMMYFUNCTION("""COMPUTED_VALUE"""),"Fruit du serpent (Salak)")</f>
        <v>Fruit du serpent (Salak)</v>
      </c>
      <c r="H700" s="8" t="str">
        <f>IFERROR(__xludf.DUMMYFUNCTION("""COMPUTED_VALUE"""),"seed")</f>
        <v>seed</v>
      </c>
      <c r="I700" s="8"/>
      <c r="J700" s="8"/>
      <c r="K700" s="8"/>
      <c r="L700" s="8"/>
      <c r="M700" s="8">
        <f>IFERROR(__xludf.DUMMYFUNCTION("""COMPUTED_VALUE"""),0.0)</f>
        <v>0</v>
      </c>
      <c r="N700" s="8">
        <f>IFERROR(__xludf.DUMMYFUNCTION("""COMPUTED_VALUE"""),38.0)</f>
        <v>38</v>
      </c>
      <c r="O700" s="8"/>
      <c r="P700" s="8"/>
      <c r="Q700" s="8"/>
      <c r="R700" s="8"/>
      <c r="S700" s="8"/>
      <c r="T700" s="8"/>
      <c r="U700" s="8"/>
      <c r="V700" s="8"/>
      <c r="W700" s="8"/>
      <c r="X700" s="8"/>
      <c r="Y700" s="8"/>
      <c r="Z700" s="8"/>
    </row>
    <row r="701">
      <c r="A701" s="8">
        <f>IFERROR(__xludf.DUMMYFUNCTION("""COMPUTED_VALUE"""),1111.0)</f>
        <v>1111</v>
      </c>
      <c r="B701" s="8" t="str">
        <f>IFERROR(__xludf.DUMMYFUNCTION("""COMPUTED_VALUE"""),"tree")</f>
        <v>tree</v>
      </c>
      <c r="C701" s="8" t="str">
        <f>IFERROR(__xludf.DUMMYFUNCTION("""COMPUTED_VALUE"""),"sucker")</f>
        <v>sucker</v>
      </c>
      <c r="D701" s="55" t="str">
        <f>IFERROR(__xludf.DUMMYFUNCTION("""COMPUTED_VALUE"""),"Salacca zalacca")</f>
        <v>Salacca zalacca</v>
      </c>
      <c r="E701" s="8" t="str">
        <f>IFERROR(__xludf.DUMMYFUNCTION("""COMPUTED_VALUE"""),"Pondoh")</f>
        <v>Pondoh</v>
      </c>
      <c r="F701" s="8" t="str">
        <f>IFERROR(__xludf.DUMMYFUNCTION("""COMPUTED_VALUE"""),"Snake Fruit (Salak)")</f>
        <v>Snake Fruit (Salak)</v>
      </c>
      <c r="G701" s="8" t="str">
        <f>IFERROR(__xludf.DUMMYFUNCTION("""COMPUTED_VALUE"""),"Fruit du serpent (Salak)")</f>
        <v>Fruit du serpent (Salak)</v>
      </c>
      <c r="H701" s="8" t="str">
        <f>IFERROR(__xludf.DUMMYFUNCTION("""COMPUTED_VALUE"""),"seed")</f>
        <v>seed</v>
      </c>
      <c r="I701" s="8"/>
      <c r="J701" s="8"/>
      <c r="K701" s="8"/>
      <c r="L701" s="8"/>
      <c r="M701" s="8">
        <f>IFERROR(__xludf.DUMMYFUNCTION("""COMPUTED_VALUE"""),0.0)</f>
        <v>0</v>
      </c>
      <c r="N701" s="8">
        <f>IFERROR(__xludf.DUMMYFUNCTION("""COMPUTED_VALUE"""),38.0)</f>
        <v>38</v>
      </c>
      <c r="O701" s="8"/>
      <c r="P701" s="8"/>
      <c r="Q701" s="8"/>
      <c r="R701" s="8"/>
      <c r="S701" s="8"/>
      <c r="T701" s="8"/>
      <c r="U701" s="8"/>
      <c r="V701" s="8"/>
      <c r="W701" s="8"/>
      <c r="X701" s="8"/>
      <c r="Y701" s="8"/>
      <c r="Z701" s="8"/>
    </row>
    <row r="702">
      <c r="A702" s="8">
        <f>IFERROR(__xludf.DUMMYFUNCTION("""COMPUTED_VALUE"""),1112.0)</f>
        <v>1112</v>
      </c>
      <c r="B702" s="8" t="str">
        <f>IFERROR(__xludf.DUMMYFUNCTION("""COMPUTED_VALUE"""),"tree")</f>
        <v>tree</v>
      </c>
      <c r="C702" s="8" t="str">
        <f>IFERROR(__xludf.DUMMYFUNCTION("""COMPUTED_VALUE"""),"sucker")</f>
        <v>sucker</v>
      </c>
      <c r="D702" s="55" t="str">
        <f>IFERROR(__xludf.DUMMYFUNCTION("""COMPUTED_VALUE"""),"Salacca zalacca")</f>
        <v>Salacca zalacca</v>
      </c>
      <c r="E702" s="8" t="str">
        <f>IFERROR(__xludf.DUMMYFUNCTION("""COMPUTED_VALUE"""),"Pondoh")</f>
        <v>Pondoh</v>
      </c>
      <c r="F702" s="8" t="str">
        <f>IFERROR(__xludf.DUMMYFUNCTION("""COMPUTED_VALUE"""),"Snake Fruit (Salak)")</f>
        <v>Snake Fruit (Salak)</v>
      </c>
      <c r="G702" s="8" t="str">
        <f>IFERROR(__xludf.DUMMYFUNCTION("""COMPUTED_VALUE"""),"Fruit du serpent (Salak)")</f>
        <v>Fruit du serpent (Salak)</v>
      </c>
      <c r="H702" s="8" t="str">
        <f>IFERROR(__xludf.DUMMYFUNCTION("""COMPUTED_VALUE"""),"seed")</f>
        <v>seed</v>
      </c>
      <c r="I702" s="8"/>
      <c r="J702" s="8"/>
      <c r="K702" s="8"/>
      <c r="L702" s="8"/>
      <c r="M702" s="8">
        <f>IFERROR(__xludf.DUMMYFUNCTION("""COMPUTED_VALUE"""),0.0)</f>
        <v>0</v>
      </c>
      <c r="N702" s="8">
        <f>IFERROR(__xludf.DUMMYFUNCTION("""COMPUTED_VALUE"""),38.0)</f>
        <v>38</v>
      </c>
      <c r="O702" s="8"/>
      <c r="P702" s="8"/>
      <c r="Q702" s="8"/>
      <c r="R702" s="8"/>
      <c r="S702" s="8"/>
      <c r="T702" s="8"/>
      <c r="U702" s="8"/>
      <c r="V702" s="8"/>
      <c r="W702" s="8"/>
      <c r="X702" s="8"/>
      <c r="Y702" s="8"/>
      <c r="Z702" s="8"/>
    </row>
    <row r="703">
      <c r="A703" s="8">
        <f>IFERROR(__xludf.DUMMYFUNCTION("""COMPUTED_VALUE"""),1113.0)</f>
        <v>1113</v>
      </c>
      <c r="B703" s="8" t="str">
        <f>IFERROR(__xludf.DUMMYFUNCTION("""COMPUTED_VALUE"""),"tree")</f>
        <v>tree</v>
      </c>
      <c r="C703" s="8" t="str">
        <f>IFERROR(__xludf.DUMMYFUNCTION("""COMPUTED_VALUE"""),"sucker")</f>
        <v>sucker</v>
      </c>
      <c r="D703" s="55" t="str">
        <f>IFERROR(__xludf.DUMMYFUNCTION("""COMPUTED_VALUE"""),"Salacca zalacca")</f>
        <v>Salacca zalacca</v>
      </c>
      <c r="E703" s="8" t="str">
        <f>IFERROR(__xludf.DUMMYFUNCTION("""COMPUTED_VALUE"""),"Pondoh")</f>
        <v>Pondoh</v>
      </c>
      <c r="F703" s="8" t="str">
        <f>IFERROR(__xludf.DUMMYFUNCTION("""COMPUTED_VALUE"""),"Snake Fruit (Salak)")</f>
        <v>Snake Fruit (Salak)</v>
      </c>
      <c r="G703" s="8" t="str">
        <f>IFERROR(__xludf.DUMMYFUNCTION("""COMPUTED_VALUE"""),"Fruit du serpent (Salak)")</f>
        <v>Fruit du serpent (Salak)</v>
      </c>
      <c r="H703" s="8" t="str">
        <f>IFERROR(__xludf.DUMMYFUNCTION("""COMPUTED_VALUE"""),"seed")</f>
        <v>seed</v>
      </c>
      <c r="I703" s="8"/>
      <c r="J703" s="8"/>
      <c r="K703" s="8"/>
      <c r="L703" s="8"/>
      <c r="M703" s="8">
        <f>IFERROR(__xludf.DUMMYFUNCTION("""COMPUTED_VALUE"""),0.0)</f>
        <v>0</v>
      </c>
      <c r="N703" s="8">
        <f>IFERROR(__xludf.DUMMYFUNCTION("""COMPUTED_VALUE"""),38.0)</f>
        <v>38</v>
      </c>
      <c r="O703" s="8"/>
      <c r="P703" s="8"/>
      <c r="Q703" s="8"/>
      <c r="R703" s="8"/>
      <c r="S703" s="8"/>
      <c r="T703" s="8"/>
      <c r="U703" s="8"/>
      <c r="V703" s="8"/>
      <c r="W703" s="8"/>
      <c r="X703" s="8"/>
      <c r="Y703" s="8"/>
      <c r="Z703" s="8"/>
    </row>
    <row r="704">
      <c r="A704" s="8">
        <f>IFERROR(__xludf.DUMMYFUNCTION("""COMPUTED_VALUE"""),1114.0)</f>
        <v>1114</v>
      </c>
      <c r="B704" s="8" t="str">
        <f>IFERROR(__xludf.DUMMYFUNCTION("""COMPUTED_VALUE"""),"tree")</f>
        <v>tree</v>
      </c>
      <c r="C704" s="8" t="str">
        <f>IFERROR(__xludf.DUMMYFUNCTION("""COMPUTED_VALUE"""),"sucker")</f>
        <v>sucker</v>
      </c>
      <c r="D704" s="55" t="str">
        <f>IFERROR(__xludf.DUMMYFUNCTION("""COMPUTED_VALUE"""),"Salacca zalacca")</f>
        <v>Salacca zalacca</v>
      </c>
      <c r="E704" s="8" t="str">
        <f>IFERROR(__xludf.DUMMYFUNCTION("""COMPUTED_VALUE"""),"Pondoh")</f>
        <v>Pondoh</v>
      </c>
      <c r="F704" s="8" t="str">
        <f>IFERROR(__xludf.DUMMYFUNCTION("""COMPUTED_VALUE"""),"Snake Fruit (Salak)")</f>
        <v>Snake Fruit (Salak)</v>
      </c>
      <c r="G704" s="8" t="str">
        <f>IFERROR(__xludf.DUMMYFUNCTION("""COMPUTED_VALUE"""),"Fruit du serpent (Salak)")</f>
        <v>Fruit du serpent (Salak)</v>
      </c>
      <c r="H704" s="8" t="str">
        <f>IFERROR(__xludf.DUMMYFUNCTION("""COMPUTED_VALUE"""),"seed")</f>
        <v>seed</v>
      </c>
      <c r="I704" s="8"/>
      <c r="J704" s="8"/>
      <c r="K704" s="8"/>
      <c r="L704" s="8"/>
      <c r="M704" s="8">
        <f>IFERROR(__xludf.DUMMYFUNCTION("""COMPUTED_VALUE"""),0.0)</f>
        <v>0</v>
      </c>
      <c r="N704" s="8">
        <f>IFERROR(__xludf.DUMMYFUNCTION("""COMPUTED_VALUE"""),38.0)</f>
        <v>38</v>
      </c>
      <c r="O704" s="8"/>
      <c r="P704" s="8"/>
      <c r="Q704" s="8"/>
      <c r="R704" s="8"/>
      <c r="S704" s="8"/>
      <c r="T704" s="8"/>
      <c r="U704" s="8"/>
      <c r="V704" s="8"/>
      <c r="W704" s="8"/>
      <c r="X704" s="8"/>
      <c r="Y704" s="8"/>
      <c r="Z704" s="8"/>
    </row>
    <row r="705">
      <c r="A705" s="8">
        <f>IFERROR(__xludf.DUMMYFUNCTION("""COMPUTED_VALUE"""),1115.0)</f>
        <v>1115</v>
      </c>
      <c r="B705" s="8" t="str">
        <f>IFERROR(__xludf.DUMMYFUNCTION("""COMPUTED_VALUE"""),"tree")</f>
        <v>tree</v>
      </c>
      <c r="C705" s="8" t="str">
        <f>IFERROR(__xludf.DUMMYFUNCTION("""COMPUTED_VALUE"""),"sucker")</f>
        <v>sucker</v>
      </c>
      <c r="D705" s="55" t="str">
        <f>IFERROR(__xludf.DUMMYFUNCTION("""COMPUTED_VALUE"""),"Salacca zalacca")</f>
        <v>Salacca zalacca</v>
      </c>
      <c r="E705" s="8" t="str">
        <f>IFERROR(__xludf.DUMMYFUNCTION("""COMPUTED_VALUE"""),"Pondoh")</f>
        <v>Pondoh</v>
      </c>
      <c r="F705" s="8" t="str">
        <f>IFERROR(__xludf.DUMMYFUNCTION("""COMPUTED_VALUE"""),"Snake Fruit (Salak)")</f>
        <v>Snake Fruit (Salak)</v>
      </c>
      <c r="G705" s="8" t="str">
        <f>IFERROR(__xludf.DUMMYFUNCTION("""COMPUTED_VALUE"""),"Fruit du serpent (Salak)")</f>
        <v>Fruit du serpent (Salak)</v>
      </c>
      <c r="H705" s="8" t="str">
        <f>IFERROR(__xludf.DUMMYFUNCTION("""COMPUTED_VALUE"""),"seed")</f>
        <v>seed</v>
      </c>
      <c r="I705" s="8"/>
      <c r="J705" s="8"/>
      <c r="K705" s="8"/>
      <c r="L705" s="8"/>
      <c r="M705" s="8">
        <f>IFERROR(__xludf.DUMMYFUNCTION("""COMPUTED_VALUE"""),0.0)</f>
        <v>0</v>
      </c>
      <c r="N705" s="8">
        <f>IFERROR(__xludf.DUMMYFUNCTION("""COMPUTED_VALUE"""),38.0)</f>
        <v>38</v>
      </c>
      <c r="O705" s="8"/>
      <c r="P705" s="8"/>
      <c r="Q705" s="8"/>
      <c r="R705" s="8"/>
      <c r="S705" s="8"/>
      <c r="T705" s="8"/>
      <c r="U705" s="8"/>
      <c r="V705" s="8"/>
      <c r="W705" s="8"/>
      <c r="X705" s="8"/>
      <c r="Y705" s="8"/>
      <c r="Z705" s="8"/>
    </row>
    <row r="706">
      <c r="A706" s="8">
        <f>IFERROR(__xludf.DUMMYFUNCTION("""COMPUTED_VALUE"""),1116.0)</f>
        <v>1116</v>
      </c>
      <c r="B706" s="8" t="str">
        <f>IFERROR(__xludf.DUMMYFUNCTION("""COMPUTED_VALUE"""),"tree")</f>
        <v>tree</v>
      </c>
      <c r="C706" s="8" t="str">
        <f>IFERROR(__xludf.DUMMYFUNCTION("""COMPUTED_VALUE"""),"sucker")</f>
        <v>sucker</v>
      </c>
      <c r="D706" s="55" t="str">
        <f>IFERROR(__xludf.DUMMYFUNCTION("""COMPUTED_VALUE"""),"Salacca zalacca")</f>
        <v>Salacca zalacca</v>
      </c>
      <c r="E706" s="8" t="str">
        <f>IFERROR(__xludf.DUMMYFUNCTION("""COMPUTED_VALUE"""),"Pondoh")</f>
        <v>Pondoh</v>
      </c>
      <c r="F706" s="8" t="str">
        <f>IFERROR(__xludf.DUMMYFUNCTION("""COMPUTED_VALUE"""),"Snake Fruit (Salak)")</f>
        <v>Snake Fruit (Salak)</v>
      </c>
      <c r="G706" s="8" t="str">
        <f>IFERROR(__xludf.DUMMYFUNCTION("""COMPUTED_VALUE"""),"Fruit du serpent (Salak)")</f>
        <v>Fruit du serpent (Salak)</v>
      </c>
      <c r="H706" s="8" t="str">
        <f>IFERROR(__xludf.DUMMYFUNCTION("""COMPUTED_VALUE"""),"seed")</f>
        <v>seed</v>
      </c>
      <c r="I706" s="8"/>
      <c r="J706" s="8"/>
      <c r="K706" s="8"/>
      <c r="L706" s="8"/>
      <c r="M706" s="8">
        <f>IFERROR(__xludf.DUMMYFUNCTION("""COMPUTED_VALUE"""),0.0)</f>
        <v>0</v>
      </c>
      <c r="N706" s="8">
        <f>IFERROR(__xludf.DUMMYFUNCTION("""COMPUTED_VALUE"""),38.0)</f>
        <v>38</v>
      </c>
      <c r="O706" s="8"/>
      <c r="P706" s="8"/>
      <c r="Q706" s="8"/>
      <c r="R706" s="8"/>
      <c r="S706" s="8"/>
      <c r="T706" s="8"/>
      <c r="U706" s="8"/>
      <c r="V706" s="8"/>
      <c r="W706" s="8"/>
      <c r="X706" s="8"/>
      <c r="Y706" s="8"/>
      <c r="Z706" s="8"/>
    </row>
    <row r="707">
      <c r="A707" s="8">
        <f>IFERROR(__xludf.DUMMYFUNCTION("""COMPUTED_VALUE"""),1117.0)</f>
        <v>1117</v>
      </c>
      <c r="B707" s="8" t="str">
        <f>IFERROR(__xludf.DUMMYFUNCTION("""COMPUTED_VALUE"""),"tree")</f>
        <v>tree</v>
      </c>
      <c r="C707" s="8" t="str">
        <f>IFERROR(__xludf.DUMMYFUNCTION("""COMPUTED_VALUE"""),"sucker")</f>
        <v>sucker</v>
      </c>
      <c r="D707" s="55" t="str">
        <f>IFERROR(__xludf.DUMMYFUNCTION("""COMPUTED_VALUE"""),"Salacca zalacca")</f>
        <v>Salacca zalacca</v>
      </c>
      <c r="E707" s="8" t="str">
        <f>IFERROR(__xludf.DUMMYFUNCTION("""COMPUTED_VALUE"""),"Pondoh")</f>
        <v>Pondoh</v>
      </c>
      <c r="F707" s="8" t="str">
        <f>IFERROR(__xludf.DUMMYFUNCTION("""COMPUTED_VALUE"""),"Snake Fruit (Salak)")</f>
        <v>Snake Fruit (Salak)</v>
      </c>
      <c r="G707" s="8" t="str">
        <f>IFERROR(__xludf.DUMMYFUNCTION("""COMPUTED_VALUE"""),"Fruit du serpent (Salak)")</f>
        <v>Fruit du serpent (Salak)</v>
      </c>
      <c r="H707" s="8" t="str">
        <f>IFERROR(__xludf.DUMMYFUNCTION("""COMPUTED_VALUE"""),"seed")</f>
        <v>seed</v>
      </c>
      <c r="I707" s="8"/>
      <c r="J707" s="8"/>
      <c r="K707" s="8"/>
      <c r="L707" s="8"/>
      <c r="M707" s="8">
        <f>IFERROR(__xludf.DUMMYFUNCTION("""COMPUTED_VALUE"""),0.0)</f>
        <v>0</v>
      </c>
      <c r="N707" s="8">
        <f>IFERROR(__xludf.DUMMYFUNCTION("""COMPUTED_VALUE"""),38.0)</f>
        <v>38</v>
      </c>
      <c r="O707" s="8"/>
      <c r="P707" s="8"/>
      <c r="Q707" s="8"/>
      <c r="R707" s="8"/>
      <c r="S707" s="8"/>
      <c r="T707" s="8"/>
      <c r="U707" s="8"/>
      <c r="V707" s="8"/>
      <c r="W707" s="8"/>
      <c r="X707" s="8"/>
      <c r="Y707" s="8"/>
      <c r="Z707" s="8"/>
    </row>
    <row r="708">
      <c r="A708" s="8">
        <f>IFERROR(__xludf.DUMMYFUNCTION("""COMPUTED_VALUE"""),1118.0)</f>
        <v>1118</v>
      </c>
      <c r="B708" s="8" t="str">
        <f>IFERROR(__xludf.DUMMYFUNCTION("""COMPUTED_VALUE"""),"tree")</f>
        <v>tree</v>
      </c>
      <c r="C708" s="8" t="str">
        <f>IFERROR(__xludf.DUMMYFUNCTION("""COMPUTED_VALUE"""),"sucker")</f>
        <v>sucker</v>
      </c>
      <c r="D708" s="55" t="str">
        <f>IFERROR(__xludf.DUMMYFUNCTION("""COMPUTED_VALUE"""),"Salacca zalacca")</f>
        <v>Salacca zalacca</v>
      </c>
      <c r="E708" s="8" t="str">
        <f>IFERROR(__xludf.DUMMYFUNCTION("""COMPUTED_VALUE"""),"Pondoh")</f>
        <v>Pondoh</v>
      </c>
      <c r="F708" s="8" t="str">
        <f>IFERROR(__xludf.DUMMYFUNCTION("""COMPUTED_VALUE"""),"Snake Fruit (Salak)")</f>
        <v>Snake Fruit (Salak)</v>
      </c>
      <c r="G708" s="8" t="str">
        <f>IFERROR(__xludf.DUMMYFUNCTION("""COMPUTED_VALUE"""),"Fruit du serpent (Salak)")</f>
        <v>Fruit du serpent (Salak)</v>
      </c>
      <c r="H708" s="8" t="str">
        <f>IFERROR(__xludf.DUMMYFUNCTION("""COMPUTED_VALUE"""),"seed")</f>
        <v>seed</v>
      </c>
      <c r="I708" s="8"/>
      <c r="J708" s="8"/>
      <c r="K708" s="8"/>
      <c r="L708" s="8"/>
      <c r="M708" s="8">
        <f>IFERROR(__xludf.DUMMYFUNCTION("""COMPUTED_VALUE"""),0.0)</f>
        <v>0</v>
      </c>
      <c r="N708" s="8">
        <f>IFERROR(__xludf.DUMMYFUNCTION("""COMPUTED_VALUE"""),38.0)</f>
        <v>38</v>
      </c>
      <c r="O708" s="8"/>
      <c r="P708" s="8"/>
      <c r="Q708" s="8"/>
      <c r="R708" s="8"/>
      <c r="S708" s="8"/>
      <c r="T708" s="8"/>
      <c r="U708" s="8"/>
      <c r="V708" s="8"/>
      <c r="W708" s="8"/>
      <c r="X708" s="8"/>
      <c r="Y708" s="8"/>
      <c r="Z708" s="8"/>
    </row>
    <row r="709">
      <c r="A709" s="8">
        <f>IFERROR(__xludf.DUMMYFUNCTION("""COMPUTED_VALUE"""),1119.0)</f>
        <v>1119</v>
      </c>
      <c r="B709" s="8" t="str">
        <f>IFERROR(__xludf.DUMMYFUNCTION("""COMPUTED_VALUE"""),"tree")</f>
        <v>tree</v>
      </c>
      <c r="C709" s="8" t="str">
        <f>IFERROR(__xludf.DUMMYFUNCTION("""COMPUTED_VALUE"""),"sucker")</f>
        <v>sucker</v>
      </c>
      <c r="D709" s="55" t="str">
        <f>IFERROR(__xludf.DUMMYFUNCTION("""COMPUTED_VALUE"""),"Salacca zalacca")</f>
        <v>Salacca zalacca</v>
      </c>
      <c r="E709" s="8" t="str">
        <f>IFERROR(__xludf.DUMMYFUNCTION("""COMPUTED_VALUE"""),"Pondoh")</f>
        <v>Pondoh</v>
      </c>
      <c r="F709" s="8" t="str">
        <f>IFERROR(__xludf.DUMMYFUNCTION("""COMPUTED_VALUE"""),"Snake Fruit (Salak)")</f>
        <v>Snake Fruit (Salak)</v>
      </c>
      <c r="G709" s="8" t="str">
        <f>IFERROR(__xludf.DUMMYFUNCTION("""COMPUTED_VALUE"""),"Fruit du serpent (Salak)")</f>
        <v>Fruit du serpent (Salak)</v>
      </c>
      <c r="H709" s="8" t="str">
        <f>IFERROR(__xludf.DUMMYFUNCTION("""COMPUTED_VALUE"""),"seed")</f>
        <v>seed</v>
      </c>
      <c r="I709" s="8"/>
      <c r="J709" s="8"/>
      <c r="K709" s="8"/>
      <c r="L709" s="8"/>
      <c r="M709" s="8">
        <f>IFERROR(__xludf.DUMMYFUNCTION("""COMPUTED_VALUE"""),0.0)</f>
        <v>0</v>
      </c>
      <c r="N709" s="8">
        <f>IFERROR(__xludf.DUMMYFUNCTION("""COMPUTED_VALUE"""),38.0)</f>
        <v>38</v>
      </c>
      <c r="O709" s="8"/>
      <c r="P709" s="8"/>
      <c r="Q709" s="8"/>
      <c r="R709" s="8"/>
      <c r="S709" s="8"/>
      <c r="T709" s="8"/>
      <c r="U709" s="8"/>
      <c r="V709" s="8"/>
      <c r="W709" s="8"/>
      <c r="X709" s="8"/>
      <c r="Y709" s="8"/>
      <c r="Z709" s="8"/>
    </row>
    <row r="710">
      <c r="A710" s="8">
        <f>IFERROR(__xludf.DUMMYFUNCTION("""COMPUTED_VALUE"""),1120.0)</f>
        <v>1120</v>
      </c>
      <c r="B710" s="8" t="str">
        <f>IFERROR(__xludf.DUMMYFUNCTION("""COMPUTED_VALUE"""),"tree")</f>
        <v>tree</v>
      </c>
      <c r="C710" s="8" t="str">
        <f>IFERROR(__xludf.DUMMYFUNCTION("""COMPUTED_VALUE"""),"sucker")</f>
        <v>sucker</v>
      </c>
      <c r="D710" s="55" t="str">
        <f>IFERROR(__xludf.DUMMYFUNCTION("""COMPUTED_VALUE"""),"Salacca zalacca")</f>
        <v>Salacca zalacca</v>
      </c>
      <c r="E710" s="8" t="str">
        <f>IFERROR(__xludf.DUMMYFUNCTION("""COMPUTED_VALUE"""),"Pondoh")</f>
        <v>Pondoh</v>
      </c>
      <c r="F710" s="8" t="str">
        <f>IFERROR(__xludf.DUMMYFUNCTION("""COMPUTED_VALUE"""),"Snake Fruit (Salak)")</f>
        <v>Snake Fruit (Salak)</v>
      </c>
      <c r="G710" s="8" t="str">
        <f>IFERROR(__xludf.DUMMYFUNCTION("""COMPUTED_VALUE"""),"Fruit du serpent (Salak)")</f>
        <v>Fruit du serpent (Salak)</v>
      </c>
      <c r="H710" s="8" t="str">
        <f>IFERROR(__xludf.DUMMYFUNCTION("""COMPUTED_VALUE"""),"seed")</f>
        <v>seed</v>
      </c>
      <c r="I710" s="8"/>
      <c r="J710" s="8"/>
      <c r="K710" s="8"/>
      <c r="L710" s="8"/>
      <c r="M710" s="8">
        <f>IFERROR(__xludf.DUMMYFUNCTION("""COMPUTED_VALUE"""),0.0)</f>
        <v>0</v>
      </c>
      <c r="N710" s="8">
        <f>IFERROR(__xludf.DUMMYFUNCTION("""COMPUTED_VALUE"""),38.0)</f>
        <v>38</v>
      </c>
      <c r="O710" s="8"/>
      <c r="P710" s="8"/>
      <c r="Q710" s="8"/>
      <c r="R710" s="8"/>
      <c r="S710" s="8"/>
      <c r="T710" s="8"/>
      <c r="U710" s="8"/>
      <c r="V710" s="8"/>
      <c r="W710" s="8"/>
      <c r="X710" s="8"/>
      <c r="Y710" s="8"/>
      <c r="Z710" s="8"/>
    </row>
    <row r="711">
      <c r="A711" s="8">
        <f>IFERROR(__xludf.DUMMYFUNCTION("""COMPUTED_VALUE"""),1121.0)</f>
        <v>1121</v>
      </c>
      <c r="B711" s="8" t="str">
        <f>IFERROR(__xludf.DUMMYFUNCTION("""COMPUTED_VALUE"""),"tree")</f>
        <v>tree</v>
      </c>
      <c r="C711" s="8" t="str">
        <f>IFERROR(__xludf.DUMMYFUNCTION("""COMPUTED_VALUE"""),"sucker")</f>
        <v>sucker</v>
      </c>
      <c r="D711" s="55" t="str">
        <f>IFERROR(__xludf.DUMMYFUNCTION("""COMPUTED_VALUE"""),"Salacca zalacca")</f>
        <v>Salacca zalacca</v>
      </c>
      <c r="E711" s="8" t="str">
        <f>IFERROR(__xludf.DUMMYFUNCTION("""COMPUTED_VALUE"""),"Pondoh")</f>
        <v>Pondoh</v>
      </c>
      <c r="F711" s="8" t="str">
        <f>IFERROR(__xludf.DUMMYFUNCTION("""COMPUTED_VALUE"""),"Snake Fruit (Salak)")</f>
        <v>Snake Fruit (Salak)</v>
      </c>
      <c r="G711" s="8" t="str">
        <f>IFERROR(__xludf.DUMMYFUNCTION("""COMPUTED_VALUE"""),"Fruit du serpent (Salak)")</f>
        <v>Fruit du serpent (Salak)</v>
      </c>
      <c r="H711" s="8" t="str">
        <f>IFERROR(__xludf.DUMMYFUNCTION("""COMPUTED_VALUE"""),"seed")</f>
        <v>seed</v>
      </c>
      <c r="I711" s="8"/>
      <c r="J711" s="8"/>
      <c r="K711" s="8"/>
      <c r="L711" s="8"/>
      <c r="M711" s="8">
        <f>IFERROR(__xludf.DUMMYFUNCTION("""COMPUTED_VALUE"""),0.0)</f>
        <v>0</v>
      </c>
      <c r="N711" s="8">
        <f>IFERROR(__xludf.DUMMYFUNCTION("""COMPUTED_VALUE"""),38.0)</f>
        <v>38</v>
      </c>
      <c r="O711" s="8"/>
      <c r="P711" s="8"/>
      <c r="Q711" s="8"/>
      <c r="R711" s="8"/>
      <c r="S711" s="8"/>
      <c r="T711" s="8"/>
      <c r="U711" s="8"/>
      <c r="V711" s="8"/>
      <c r="W711" s="8"/>
      <c r="X711" s="8"/>
      <c r="Y711" s="8"/>
      <c r="Z711" s="8"/>
    </row>
    <row r="712">
      <c r="A712" s="8">
        <f>IFERROR(__xludf.DUMMYFUNCTION("""COMPUTED_VALUE"""),1122.0)</f>
        <v>1122</v>
      </c>
      <c r="B712" s="8" t="str">
        <f>IFERROR(__xludf.DUMMYFUNCTION("""COMPUTED_VALUE"""),"tree")</f>
        <v>tree</v>
      </c>
      <c r="C712" s="8" t="str">
        <f>IFERROR(__xludf.DUMMYFUNCTION("""COMPUTED_VALUE"""),"sucker")</f>
        <v>sucker</v>
      </c>
      <c r="D712" s="55" t="str">
        <f>IFERROR(__xludf.DUMMYFUNCTION("""COMPUTED_VALUE"""),"Salacca zalacca")</f>
        <v>Salacca zalacca</v>
      </c>
      <c r="E712" s="8" t="str">
        <f>IFERROR(__xludf.DUMMYFUNCTION("""COMPUTED_VALUE"""),"Pondoh")</f>
        <v>Pondoh</v>
      </c>
      <c r="F712" s="8" t="str">
        <f>IFERROR(__xludf.DUMMYFUNCTION("""COMPUTED_VALUE"""),"Snake Fruit (Salak)")</f>
        <v>Snake Fruit (Salak)</v>
      </c>
      <c r="G712" s="8" t="str">
        <f>IFERROR(__xludf.DUMMYFUNCTION("""COMPUTED_VALUE"""),"Fruit du serpent (Salak)")</f>
        <v>Fruit du serpent (Salak)</v>
      </c>
      <c r="H712" s="8" t="str">
        <f>IFERROR(__xludf.DUMMYFUNCTION("""COMPUTED_VALUE"""),"seed")</f>
        <v>seed</v>
      </c>
      <c r="I712" s="8"/>
      <c r="J712" s="8"/>
      <c r="K712" s="8"/>
      <c r="L712" s="8"/>
      <c r="M712" s="8">
        <f>IFERROR(__xludf.DUMMYFUNCTION("""COMPUTED_VALUE"""),0.0)</f>
        <v>0</v>
      </c>
      <c r="N712" s="8">
        <f>IFERROR(__xludf.DUMMYFUNCTION("""COMPUTED_VALUE"""),38.0)</f>
        <v>38</v>
      </c>
      <c r="O712" s="8"/>
      <c r="P712" s="8"/>
      <c r="Q712" s="8"/>
      <c r="R712" s="8"/>
      <c r="S712" s="8"/>
      <c r="T712" s="8"/>
      <c r="U712" s="8"/>
      <c r="V712" s="8"/>
      <c r="W712" s="8"/>
      <c r="X712" s="8"/>
      <c r="Y712" s="8"/>
      <c r="Z712" s="8"/>
    </row>
    <row r="713">
      <c r="A713" s="8">
        <f>IFERROR(__xludf.DUMMYFUNCTION("""COMPUTED_VALUE"""),1123.0)</f>
        <v>1123</v>
      </c>
      <c r="B713" s="8" t="str">
        <f>IFERROR(__xludf.DUMMYFUNCTION("""COMPUTED_VALUE"""),"tree")</f>
        <v>tree</v>
      </c>
      <c r="C713" s="8" t="str">
        <f>IFERROR(__xludf.DUMMYFUNCTION("""COMPUTED_VALUE"""),"sucker")</f>
        <v>sucker</v>
      </c>
      <c r="D713" s="55" t="str">
        <f>IFERROR(__xludf.DUMMYFUNCTION("""COMPUTED_VALUE"""),"Salacca zalacca")</f>
        <v>Salacca zalacca</v>
      </c>
      <c r="E713" s="8" t="str">
        <f>IFERROR(__xludf.DUMMYFUNCTION("""COMPUTED_VALUE"""),"Pondoh")</f>
        <v>Pondoh</v>
      </c>
      <c r="F713" s="8" t="str">
        <f>IFERROR(__xludf.DUMMYFUNCTION("""COMPUTED_VALUE"""),"Snake Fruit (Salak)")</f>
        <v>Snake Fruit (Salak)</v>
      </c>
      <c r="G713" s="8" t="str">
        <f>IFERROR(__xludf.DUMMYFUNCTION("""COMPUTED_VALUE"""),"Fruit du serpent (Salak)")</f>
        <v>Fruit du serpent (Salak)</v>
      </c>
      <c r="H713" s="8" t="str">
        <f>IFERROR(__xludf.DUMMYFUNCTION("""COMPUTED_VALUE"""),"seed")</f>
        <v>seed</v>
      </c>
      <c r="I713" s="8"/>
      <c r="J713" s="8"/>
      <c r="K713" s="8"/>
      <c r="L713" s="8"/>
      <c r="M713" s="8">
        <f>IFERROR(__xludf.DUMMYFUNCTION("""COMPUTED_VALUE"""),0.0)</f>
        <v>0</v>
      </c>
      <c r="N713" s="8">
        <f>IFERROR(__xludf.DUMMYFUNCTION("""COMPUTED_VALUE"""),38.0)</f>
        <v>38</v>
      </c>
      <c r="O713" s="8"/>
      <c r="P713" s="8"/>
      <c r="Q713" s="8"/>
      <c r="R713" s="8"/>
      <c r="S713" s="8"/>
      <c r="T713" s="8"/>
      <c r="U713" s="8"/>
      <c r="V713" s="8"/>
      <c r="W713" s="8"/>
      <c r="X713" s="8"/>
      <c r="Y713" s="8"/>
      <c r="Z713" s="8"/>
    </row>
    <row r="714">
      <c r="A714" s="8">
        <f>IFERROR(__xludf.DUMMYFUNCTION("""COMPUTED_VALUE"""),1124.0)</f>
        <v>1124</v>
      </c>
      <c r="B714" s="8" t="str">
        <f>IFERROR(__xludf.DUMMYFUNCTION("""COMPUTED_VALUE"""),"tree")</f>
        <v>tree</v>
      </c>
      <c r="C714" s="8" t="str">
        <f>IFERROR(__xludf.DUMMYFUNCTION("""COMPUTED_VALUE"""),"sucker")</f>
        <v>sucker</v>
      </c>
      <c r="D714" s="55" t="str">
        <f>IFERROR(__xludf.DUMMYFUNCTION("""COMPUTED_VALUE"""),"Salacca zalacca")</f>
        <v>Salacca zalacca</v>
      </c>
      <c r="E714" s="8" t="str">
        <f>IFERROR(__xludf.DUMMYFUNCTION("""COMPUTED_VALUE"""),"Pondoh")</f>
        <v>Pondoh</v>
      </c>
      <c r="F714" s="8" t="str">
        <f>IFERROR(__xludf.DUMMYFUNCTION("""COMPUTED_VALUE"""),"Snake Fruit (Salak)")</f>
        <v>Snake Fruit (Salak)</v>
      </c>
      <c r="G714" s="8" t="str">
        <f>IFERROR(__xludf.DUMMYFUNCTION("""COMPUTED_VALUE"""),"Fruit du serpent (Salak)")</f>
        <v>Fruit du serpent (Salak)</v>
      </c>
      <c r="H714" s="8" t="str">
        <f>IFERROR(__xludf.DUMMYFUNCTION("""COMPUTED_VALUE"""),"seed")</f>
        <v>seed</v>
      </c>
      <c r="I714" s="8"/>
      <c r="J714" s="8"/>
      <c r="K714" s="8"/>
      <c r="L714" s="8"/>
      <c r="M714" s="8">
        <f>IFERROR(__xludf.DUMMYFUNCTION("""COMPUTED_VALUE"""),0.0)</f>
        <v>0</v>
      </c>
      <c r="N714" s="8">
        <f>IFERROR(__xludf.DUMMYFUNCTION("""COMPUTED_VALUE"""),38.0)</f>
        <v>38</v>
      </c>
      <c r="O714" s="8"/>
      <c r="P714" s="8"/>
      <c r="Q714" s="8"/>
      <c r="R714" s="8"/>
      <c r="S714" s="8"/>
      <c r="T714" s="8"/>
      <c r="U714" s="8"/>
      <c r="V714" s="8"/>
      <c r="W714" s="8"/>
      <c r="X714" s="8"/>
      <c r="Y714" s="8"/>
      <c r="Z714" s="8"/>
    </row>
    <row r="715">
      <c r="A715" s="8">
        <f>IFERROR(__xludf.DUMMYFUNCTION("""COMPUTED_VALUE"""),1125.0)</f>
        <v>1125</v>
      </c>
      <c r="B715" s="8" t="str">
        <f>IFERROR(__xludf.DUMMYFUNCTION("""COMPUTED_VALUE"""),"tree")</f>
        <v>tree</v>
      </c>
      <c r="C715" s="8" t="str">
        <f>IFERROR(__xludf.DUMMYFUNCTION("""COMPUTED_VALUE"""),"sucker")</f>
        <v>sucker</v>
      </c>
      <c r="D715" s="55" t="str">
        <f>IFERROR(__xludf.DUMMYFUNCTION("""COMPUTED_VALUE"""),"Salacca zalacca")</f>
        <v>Salacca zalacca</v>
      </c>
      <c r="E715" s="8" t="str">
        <f>IFERROR(__xludf.DUMMYFUNCTION("""COMPUTED_VALUE"""),"Pondoh")</f>
        <v>Pondoh</v>
      </c>
      <c r="F715" s="8" t="str">
        <f>IFERROR(__xludf.DUMMYFUNCTION("""COMPUTED_VALUE"""),"Snake Fruit (Salak)")</f>
        <v>Snake Fruit (Salak)</v>
      </c>
      <c r="G715" s="8" t="str">
        <f>IFERROR(__xludf.DUMMYFUNCTION("""COMPUTED_VALUE"""),"Fruit du serpent (Salak)")</f>
        <v>Fruit du serpent (Salak)</v>
      </c>
      <c r="H715" s="8" t="str">
        <f>IFERROR(__xludf.DUMMYFUNCTION("""COMPUTED_VALUE"""),"seed")</f>
        <v>seed</v>
      </c>
      <c r="I715" s="8"/>
      <c r="J715" s="8"/>
      <c r="K715" s="8"/>
      <c r="L715" s="8"/>
      <c r="M715" s="8">
        <f>IFERROR(__xludf.DUMMYFUNCTION("""COMPUTED_VALUE"""),0.0)</f>
        <v>0</v>
      </c>
      <c r="N715" s="8">
        <f>IFERROR(__xludf.DUMMYFUNCTION("""COMPUTED_VALUE"""),38.0)</f>
        <v>38</v>
      </c>
      <c r="O715" s="8"/>
      <c r="P715" s="8"/>
      <c r="Q715" s="8"/>
      <c r="R715" s="8"/>
      <c r="S715" s="8"/>
      <c r="T715" s="8"/>
      <c r="U715" s="8"/>
      <c r="V715" s="8"/>
      <c r="W715" s="8"/>
      <c r="X715" s="8"/>
      <c r="Y715" s="8"/>
      <c r="Z715" s="8"/>
    </row>
    <row r="716">
      <c r="A716" s="8">
        <f>IFERROR(__xludf.DUMMYFUNCTION("""COMPUTED_VALUE"""),1126.0)</f>
        <v>1126</v>
      </c>
      <c r="B716" s="8" t="str">
        <f>IFERROR(__xludf.DUMMYFUNCTION("""COMPUTED_VALUE"""),"tree")</f>
        <v>tree</v>
      </c>
      <c r="C716" s="8" t="str">
        <f>IFERROR(__xludf.DUMMYFUNCTION("""COMPUTED_VALUE"""),"sucker")</f>
        <v>sucker</v>
      </c>
      <c r="D716" s="55" t="str">
        <f>IFERROR(__xludf.DUMMYFUNCTION("""COMPUTED_VALUE"""),"Salacca zalacca")</f>
        <v>Salacca zalacca</v>
      </c>
      <c r="E716" s="8" t="str">
        <f>IFERROR(__xludf.DUMMYFUNCTION("""COMPUTED_VALUE"""),"Pondoh")</f>
        <v>Pondoh</v>
      </c>
      <c r="F716" s="8" t="str">
        <f>IFERROR(__xludf.DUMMYFUNCTION("""COMPUTED_VALUE"""),"Snake Fruit (Salak)")</f>
        <v>Snake Fruit (Salak)</v>
      </c>
      <c r="G716" s="8" t="str">
        <f>IFERROR(__xludf.DUMMYFUNCTION("""COMPUTED_VALUE"""),"Fruit du serpent (Salak)")</f>
        <v>Fruit du serpent (Salak)</v>
      </c>
      <c r="H716" s="8" t="str">
        <f>IFERROR(__xludf.DUMMYFUNCTION("""COMPUTED_VALUE"""),"seed")</f>
        <v>seed</v>
      </c>
      <c r="I716" s="8"/>
      <c r="J716" s="8"/>
      <c r="K716" s="8"/>
      <c r="L716" s="8"/>
      <c r="M716" s="8">
        <f>IFERROR(__xludf.DUMMYFUNCTION("""COMPUTED_VALUE"""),0.0)</f>
        <v>0</v>
      </c>
      <c r="N716" s="8">
        <f>IFERROR(__xludf.DUMMYFUNCTION("""COMPUTED_VALUE"""),38.0)</f>
        <v>38</v>
      </c>
      <c r="O716" s="8"/>
      <c r="P716" s="8"/>
      <c r="Q716" s="8"/>
      <c r="R716" s="8"/>
      <c r="S716" s="8"/>
      <c r="T716" s="8"/>
      <c r="U716" s="8"/>
      <c r="V716" s="8"/>
      <c r="W716" s="8"/>
      <c r="X716" s="8"/>
      <c r="Y716" s="8"/>
      <c r="Z716" s="8"/>
    </row>
    <row r="717">
      <c r="A717" s="8">
        <f>IFERROR(__xludf.DUMMYFUNCTION("""COMPUTED_VALUE"""),1127.0)</f>
        <v>1127</v>
      </c>
      <c r="B717" s="8" t="str">
        <f>IFERROR(__xludf.DUMMYFUNCTION("""COMPUTED_VALUE"""),"tree")</f>
        <v>tree</v>
      </c>
      <c r="C717" s="8" t="str">
        <f>IFERROR(__xludf.DUMMYFUNCTION("""COMPUTED_VALUE"""),"sucker")</f>
        <v>sucker</v>
      </c>
      <c r="D717" s="55" t="str">
        <f>IFERROR(__xludf.DUMMYFUNCTION("""COMPUTED_VALUE"""),"Salacca zalacca")</f>
        <v>Salacca zalacca</v>
      </c>
      <c r="E717" s="8" t="str">
        <f>IFERROR(__xludf.DUMMYFUNCTION("""COMPUTED_VALUE"""),"Pondoh")</f>
        <v>Pondoh</v>
      </c>
      <c r="F717" s="8" t="str">
        <f>IFERROR(__xludf.DUMMYFUNCTION("""COMPUTED_VALUE"""),"Snake Fruit (Salak)")</f>
        <v>Snake Fruit (Salak)</v>
      </c>
      <c r="G717" s="8" t="str">
        <f>IFERROR(__xludf.DUMMYFUNCTION("""COMPUTED_VALUE"""),"Fruit du serpent (Salak)")</f>
        <v>Fruit du serpent (Salak)</v>
      </c>
      <c r="H717" s="8" t="str">
        <f>IFERROR(__xludf.DUMMYFUNCTION("""COMPUTED_VALUE"""),"seed")</f>
        <v>seed</v>
      </c>
      <c r="I717" s="8"/>
      <c r="J717" s="8"/>
      <c r="K717" s="8"/>
      <c r="L717" s="8"/>
      <c r="M717" s="8">
        <f>IFERROR(__xludf.DUMMYFUNCTION("""COMPUTED_VALUE"""),0.0)</f>
        <v>0</v>
      </c>
      <c r="N717" s="8">
        <f>IFERROR(__xludf.DUMMYFUNCTION("""COMPUTED_VALUE"""),38.0)</f>
        <v>38</v>
      </c>
      <c r="O717" s="8"/>
      <c r="P717" s="8"/>
      <c r="Q717" s="8"/>
      <c r="R717" s="8"/>
      <c r="S717" s="8"/>
      <c r="T717" s="8"/>
      <c r="U717" s="8"/>
      <c r="V717" s="8"/>
      <c r="W717" s="8"/>
      <c r="X717" s="8"/>
      <c r="Y717" s="8"/>
      <c r="Z717" s="8"/>
    </row>
    <row r="718">
      <c r="A718" s="8">
        <f>IFERROR(__xludf.DUMMYFUNCTION("""COMPUTED_VALUE"""),1128.0)</f>
        <v>1128</v>
      </c>
      <c r="B718" s="8" t="str">
        <f>IFERROR(__xludf.DUMMYFUNCTION("""COMPUTED_VALUE"""),"tree")</f>
        <v>tree</v>
      </c>
      <c r="C718" s="8" t="str">
        <f>IFERROR(__xludf.DUMMYFUNCTION("""COMPUTED_VALUE"""),"sucker")</f>
        <v>sucker</v>
      </c>
      <c r="D718" s="55" t="str">
        <f>IFERROR(__xludf.DUMMYFUNCTION("""COMPUTED_VALUE"""),"Salacca zalacca")</f>
        <v>Salacca zalacca</v>
      </c>
      <c r="E718" s="8" t="str">
        <f>IFERROR(__xludf.DUMMYFUNCTION("""COMPUTED_VALUE"""),"Red")</f>
        <v>Red</v>
      </c>
      <c r="F718" s="8" t="str">
        <f>IFERROR(__xludf.DUMMYFUNCTION("""COMPUTED_VALUE"""),"Snake Fruit (Salak)")</f>
        <v>Snake Fruit (Salak)</v>
      </c>
      <c r="G718" s="8" t="str">
        <f>IFERROR(__xludf.DUMMYFUNCTION("""COMPUTED_VALUE"""),"Fruit du serpent (Salak)")</f>
        <v>Fruit du serpent (Salak)</v>
      </c>
      <c r="H718" s="8" t="str">
        <f>IFERROR(__xludf.DUMMYFUNCTION("""COMPUTED_VALUE"""),"seed")</f>
        <v>seed</v>
      </c>
      <c r="I718" s="8"/>
      <c r="J718" s="8"/>
      <c r="K718" s="8"/>
      <c r="L718" s="8"/>
      <c r="M718" s="8">
        <f>IFERROR(__xludf.DUMMYFUNCTION("""COMPUTED_VALUE"""),0.0)</f>
        <v>0</v>
      </c>
      <c r="N718" s="8">
        <f>IFERROR(__xludf.DUMMYFUNCTION("""COMPUTED_VALUE"""),38.0)</f>
        <v>38</v>
      </c>
      <c r="O718" s="8"/>
      <c r="P718" s="8"/>
      <c r="Q718" s="8"/>
      <c r="R718" s="8"/>
      <c r="S718" s="8"/>
      <c r="T718" s="8"/>
      <c r="U718" s="8"/>
      <c r="V718" s="8"/>
      <c r="W718" s="8"/>
      <c r="X718" s="8"/>
      <c r="Y718" s="8"/>
      <c r="Z718" s="8"/>
    </row>
    <row r="719">
      <c r="A719" s="8">
        <f>IFERROR(__xludf.DUMMYFUNCTION("""COMPUTED_VALUE"""),1129.0)</f>
        <v>1129</v>
      </c>
      <c r="B719" s="8" t="str">
        <f>IFERROR(__xludf.DUMMYFUNCTION("""COMPUTED_VALUE"""),"tree")</f>
        <v>tree</v>
      </c>
      <c r="C719" s="8" t="str">
        <f>IFERROR(__xludf.DUMMYFUNCTION("""COMPUTED_VALUE"""),"sucker")</f>
        <v>sucker</v>
      </c>
      <c r="D719" s="55" t="str">
        <f>IFERROR(__xludf.DUMMYFUNCTION("""COMPUTED_VALUE"""),"Salacca zalacca")</f>
        <v>Salacca zalacca</v>
      </c>
      <c r="E719" s="8" t="str">
        <f>IFERROR(__xludf.DUMMYFUNCTION("""COMPUTED_VALUE"""),"Red")</f>
        <v>Red</v>
      </c>
      <c r="F719" s="8" t="str">
        <f>IFERROR(__xludf.DUMMYFUNCTION("""COMPUTED_VALUE"""),"Snake Fruit (Salak)")</f>
        <v>Snake Fruit (Salak)</v>
      </c>
      <c r="G719" s="8" t="str">
        <f>IFERROR(__xludf.DUMMYFUNCTION("""COMPUTED_VALUE"""),"Fruit du serpent (Salak)")</f>
        <v>Fruit du serpent (Salak)</v>
      </c>
      <c r="H719" s="8" t="str">
        <f>IFERROR(__xludf.DUMMYFUNCTION("""COMPUTED_VALUE"""),"seed")</f>
        <v>seed</v>
      </c>
      <c r="I719" s="8"/>
      <c r="J719" s="8"/>
      <c r="K719" s="8"/>
      <c r="L719" s="8"/>
      <c r="M719" s="8">
        <f>IFERROR(__xludf.DUMMYFUNCTION("""COMPUTED_VALUE"""),0.0)</f>
        <v>0</v>
      </c>
      <c r="N719" s="8">
        <f>IFERROR(__xludf.DUMMYFUNCTION("""COMPUTED_VALUE"""),38.0)</f>
        <v>38</v>
      </c>
      <c r="O719" s="8"/>
      <c r="P719" s="8"/>
      <c r="Q719" s="8"/>
      <c r="R719" s="8"/>
      <c r="S719" s="8"/>
      <c r="T719" s="8"/>
      <c r="U719" s="8"/>
      <c r="V719" s="8"/>
      <c r="W719" s="8"/>
      <c r="X719" s="8"/>
      <c r="Y719" s="8"/>
      <c r="Z719" s="8"/>
    </row>
    <row r="720">
      <c r="A720" s="8">
        <f>IFERROR(__xludf.DUMMYFUNCTION("""COMPUTED_VALUE"""),1130.0)</f>
        <v>1130</v>
      </c>
      <c r="B720" s="8" t="str">
        <f>IFERROR(__xludf.DUMMYFUNCTION("""COMPUTED_VALUE"""),"tree")</f>
        <v>tree</v>
      </c>
      <c r="C720" s="8" t="str">
        <f>IFERROR(__xludf.DUMMYFUNCTION("""COMPUTED_VALUE"""),"sucker")</f>
        <v>sucker</v>
      </c>
      <c r="D720" s="55" t="str">
        <f>IFERROR(__xludf.DUMMYFUNCTION("""COMPUTED_VALUE"""),"Salacca zalacca")</f>
        <v>Salacca zalacca</v>
      </c>
      <c r="E720" s="8" t="str">
        <f>IFERROR(__xludf.DUMMYFUNCTION("""COMPUTED_VALUE"""),"Red")</f>
        <v>Red</v>
      </c>
      <c r="F720" s="8" t="str">
        <f>IFERROR(__xludf.DUMMYFUNCTION("""COMPUTED_VALUE"""),"Snake Fruit (Salak)")</f>
        <v>Snake Fruit (Salak)</v>
      </c>
      <c r="G720" s="8" t="str">
        <f>IFERROR(__xludf.DUMMYFUNCTION("""COMPUTED_VALUE"""),"Fruit du serpent (Salak)")</f>
        <v>Fruit du serpent (Salak)</v>
      </c>
      <c r="H720" s="8" t="str">
        <f>IFERROR(__xludf.DUMMYFUNCTION("""COMPUTED_VALUE"""),"seed")</f>
        <v>seed</v>
      </c>
      <c r="I720" s="8"/>
      <c r="J720" s="8"/>
      <c r="K720" s="8"/>
      <c r="L720" s="8"/>
      <c r="M720" s="8">
        <f>IFERROR(__xludf.DUMMYFUNCTION("""COMPUTED_VALUE"""),0.0)</f>
        <v>0</v>
      </c>
      <c r="N720" s="8">
        <f>IFERROR(__xludf.DUMMYFUNCTION("""COMPUTED_VALUE"""),38.0)</f>
        <v>38</v>
      </c>
      <c r="O720" s="8"/>
      <c r="P720" s="8"/>
      <c r="Q720" s="8"/>
      <c r="R720" s="8"/>
      <c r="S720" s="8"/>
      <c r="T720" s="8"/>
      <c r="U720" s="8"/>
      <c r="V720" s="8"/>
      <c r="W720" s="8"/>
      <c r="X720" s="8"/>
      <c r="Y720" s="8"/>
      <c r="Z720" s="8"/>
    </row>
    <row r="721">
      <c r="A721" s="8">
        <f>IFERROR(__xludf.DUMMYFUNCTION("""COMPUTED_VALUE"""),1131.0)</f>
        <v>1131</v>
      </c>
      <c r="B721" s="8" t="str">
        <f>IFERROR(__xludf.DUMMYFUNCTION("""COMPUTED_VALUE"""),"tree")</f>
        <v>tree</v>
      </c>
      <c r="C721" s="8" t="str">
        <f>IFERROR(__xludf.DUMMYFUNCTION("""COMPUTED_VALUE"""),"sucker")</f>
        <v>sucker</v>
      </c>
      <c r="D721" s="55" t="str">
        <f>IFERROR(__xludf.DUMMYFUNCTION("""COMPUTED_VALUE"""),"Salacca zalacca")</f>
        <v>Salacca zalacca</v>
      </c>
      <c r="E721" s="8" t="str">
        <f>IFERROR(__xludf.DUMMYFUNCTION("""COMPUTED_VALUE"""),"Red")</f>
        <v>Red</v>
      </c>
      <c r="F721" s="8" t="str">
        <f>IFERROR(__xludf.DUMMYFUNCTION("""COMPUTED_VALUE"""),"Snake Fruit (Salak)")</f>
        <v>Snake Fruit (Salak)</v>
      </c>
      <c r="G721" s="8" t="str">
        <f>IFERROR(__xludf.DUMMYFUNCTION("""COMPUTED_VALUE"""),"Fruit du serpent (Salak)")</f>
        <v>Fruit du serpent (Salak)</v>
      </c>
      <c r="H721" s="8" t="str">
        <f>IFERROR(__xludf.DUMMYFUNCTION("""COMPUTED_VALUE"""),"seed")</f>
        <v>seed</v>
      </c>
      <c r="I721" s="8"/>
      <c r="J721" s="8"/>
      <c r="K721" s="8"/>
      <c r="L721" s="8"/>
      <c r="M721" s="8">
        <f>IFERROR(__xludf.DUMMYFUNCTION("""COMPUTED_VALUE"""),0.0)</f>
        <v>0</v>
      </c>
      <c r="N721" s="8">
        <f>IFERROR(__xludf.DUMMYFUNCTION("""COMPUTED_VALUE"""),38.0)</f>
        <v>38</v>
      </c>
      <c r="O721" s="8"/>
      <c r="P721" s="8"/>
      <c r="Q721" s="8"/>
      <c r="R721" s="8"/>
      <c r="S721" s="8"/>
      <c r="T721" s="8"/>
      <c r="U721" s="8"/>
      <c r="V721" s="8"/>
      <c r="W721" s="8"/>
      <c r="X721" s="8"/>
      <c r="Y721" s="8"/>
      <c r="Z721" s="8"/>
    </row>
    <row r="722">
      <c r="A722" s="8">
        <f>IFERROR(__xludf.DUMMYFUNCTION("""COMPUTED_VALUE"""),1132.0)</f>
        <v>1132</v>
      </c>
      <c r="B722" s="8" t="str">
        <f>IFERROR(__xludf.DUMMYFUNCTION("""COMPUTED_VALUE"""),"tree")</f>
        <v>tree</v>
      </c>
      <c r="C722" s="8" t="str">
        <f>IFERROR(__xludf.DUMMYFUNCTION("""COMPUTED_VALUE"""),"sucker")</f>
        <v>sucker</v>
      </c>
      <c r="D722" s="55" t="str">
        <f>IFERROR(__xludf.DUMMYFUNCTION("""COMPUTED_VALUE"""),"Salacca zalacca")</f>
        <v>Salacca zalacca</v>
      </c>
      <c r="E722" s="8" t="str">
        <f>IFERROR(__xludf.DUMMYFUNCTION("""COMPUTED_VALUE"""),"Red")</f>
        <v>Red</v>
      </c>
      <c r="F722" s="8" t="str">
        <f>IFERROR(__xludf.DUMMYFUNCTION("""COMPUTED_VALUE"""),"Snake Fruit (Salak)")</f>
        <v>Snake Fruit (Salak)</v>
      </c>
      <c r="G722" s="8" t="str">
        <f>IFERROR(__xludf.DUMMYFUNCTION("""COMPUTED_VALUE"""),"Fruit du serpent (Salak)")</f>
        <v>Fruit du serpent (Salak)</v>
      </c>
      <c r="H722" s="8" t="str">
        <f>IFERROR(__xludf.DUMMYFUNCTION("""COMPUTED_VALUE"""),"seed")</f>
        <v>seed</v>
      </c>
      <c r="I722" s="8"/>
      <c r="J722" s="8"/>
      <c r="K722" s="8"/>
      <c r="L722" s="8"/>
      <c r="M722" s="8">
        <f>IFERROR(__xludf.DUMMYFUNCTION("""COMPUTED_VALUE"""),0.0)</f>
        <v>0</v>
      </c>
      <c r="N722" s="8">
        <f>IFERROR(__xludf.DUMMYFUNCTION("""COMPUTED_VALUE"""),38.0)</f>
        <v>38</v>
      </c>
      <c r="O722" s="8"/>
      <c r="P722" s="8"/>
      <c r="Q722" s="8"/>
      <c r="R722" s="8"/>
      <c r="S722" s="8"/>
      <c r="T722" s="8"/>
      <c r="U722" s="8"/>
      <c r="V722" s="8"/>
      <c r="W722" s="8"/>
      <c r="X722" s="8"/>
      <c r="Y722" s="8"/>
      <c r="Z722" s="8"/>
    </row>
    <row r="723">
      <c r="A723" s="8">
        <f>IFERROR(__xludf.DUMMYFUNCTION("""COMPUTED_VALUE"""),1133.0)</f>
        <v>1133</v>
      </c>
      <c r="B723" s="8" t="str">
        <f>IFERROR(__xludf.DUMMYFUNCTION("""COMPUTED_VALUE"""),"tree")</f>
        <v>tree</v>
      </c>
      <c r="C723" s="8" t="str">
        <f>IFERROR(__xludf.DUMMYFUNCTION("""COMPUTED_VALUE"""),"sucker")</f>
        <v>sucker</v>
      </c>
      <c r="D723" s="55" t="str">
        <f>IFERROR(__xludf.DUMMYFUNCTION("""COMPUTED_VALUE"""),"Salacca zalacca")</f>
        <v>Salacca zalacca</v>
      </c>
      <c r="E723" s="8" t="str">
        <f>IFERROR(__xludf.DUMMYFUNCTION("""COMPUTED_VALUE"""),"Red")</f>
        <v>Red</v>
      </c>
      <c r="F723" s="8" t="str">
        <f>IFERROR(__xludf.DUMMYFUNCTION("""COMPUTED_VALUE"""),"Snake Fruit (Salak)")</f>
        <v>Snake Fruit (Salak)</v>
      </c>
      <c r="G723" s="8" t="str">
        <f>IFERROR(__xludf.DUMMYFUNCTION("""COMPUTED_VALUE"""),"Fruit du serpent (Salak)")</f>
        <v>Fruit du serpent (Salak)</v>
      </c>
      <c r="H723" s="8" t="str">
        <f>IFERROR(__xludf.DUMMYFUNCTION("""COMPUTED_VALUE"""),"seed")</f>
        <v>seed</v>
      </c>
      <c r="I723" s="8"/>
      <c r="J723" s="8"/>
      <c r="K723" s="8"/>
      <c r="L723" s="8"/>
      <c r="M723" s="8">
        <f>IFERROR(__xludf.DUMMYFUNCTION("""COMPUTED_VALUE"""),0.0)</f>
        <v>0</v>
      </c>
      <c r="N723" s="8">
        <f>IFERROR(__xludf.DUMMYFUNCTION("""COMPUTED_VALUE"""),38.0)</f>
        <v>38</v>
      </c>
      <c r="O723" s="8"/>
      <c r="P723" s="8"/>
      <c r="Q723" s="8"/>
      <c r="R723" s="8"/>
      <c r="S723" s="8"/>
      <c r="T723" s="8"/>
      <c r="U723" s="8"/>
      <c r="V723" s="8"/>
      <c r="W723" s="8"/>
      <c r="X723" s="8"/>
      <c r="Y723" s="8"/>
      <c r="Z723" s="8"/>
    </row>
    <row r="724">
      <c r="A724" s="8">
        <f>IFERROR(__xludf.DUMMYFUNCTION("""COMPUTED_VALUE"""),1134.0)</f>
        <v>1134</v>
      </c>
      <c r="B724" s="8" t="str">
        <f>IFERROR(__xludf.DUMMYFUNCTION("""COMPUTED_VALUE"""),"tree")</f>
        <v>tree</v>
      </c>
      <c r="C724" s="8" t="str">
        <f>IFERROR(__xludf.DUMMYFUNCTION("""COMPUTED_VALUE"""),"sucker")</f>
        <v>sucker</v>
      </c>
      <c r="D724" s="55" t="str">
        <f>IFERROR(__xludf.DUMMYFUNCTION("""COMPUTED_VALUE"""),"Salacca zalacca")</f>
        <v>Salacca zalacca</v>
      </c>
      <c r="E724" s="8" t="str">
        <f>IFERROR(__xludf.DUMMYFUNCTION("""COMPUTED_VALUE"""),"Red")</f>
        <v>Red</v>
      </c>
      <c r="F724" s="8" t="str">
        <f>IFERROR(__xludf.DUMMYFUNCTION("""COMPUTED_VALUE"""),"Snake Fruit (Salak)")</f>
        <v>Snake Fruit (Salak)</v>
      </c>
      <c r="G724" s="8" t="str">
        <f>IFERROR(__xludf.DUMMYFUNCTION("""COMPUTED_VALUE"""),"Fruit du serpent (Salak)")</f>
        <v>Fruit du serpent (Salak)</v>
      </c>
      <c r="H724" s="8" t="str">
        <f>IFERROR(__xludf.DUMMYFUNCTION("""COMPUTED_VALUE"""),"seed")</f>
        <v>seed</v>
      </c>
      <c r="I724" s="8"/>
      <c r="J724" s="8"/>
      <c r="K724" s="8"/>
      <c r="L724" s="8"/>
      <c r="M724" s="8">
        <f>IFERROR(__xludf.DUMMYFUNCTION("""COMPUTED_VALUE"""),0.0)</f>
        <v>0</v>
      </c>
      <c r="N724" s="8">
        <f>IFERROR(__xludf.DUMMYFUNCTION("""COMPUTED_VALUE"""),38.0)</f>
        <v>38</v>
      </c>
      <c r="O724" s="8"/>
      <c r="P724" s="8"/>
      <c r="Q724" s="8"/>
      <c r="R724" s="8"/>
      <c r="S724" s="8"/>
      <c r="T724" s="8"/>
      <c r="U724" s="8"/>
      <c r="V724" s="8"/>
      <c r="W724" s="8"/>
      <c r="X724" s="8"/>
      <c r="Y724" s="8"/>
      <c r="Z724" s="8"/>
    </row>
    <row r="725">
      <c r="A725" s="8">
        <f>IFERROR(__xludf.DUMMYFUNCTION("""COMPUTED_VALUE"""),1135.0)</f>
        <v>1135</v>
      </c>
      <c r="B725" s="8" t="str">
        <f>IFERROR(__xludf.DUMMYFUNCTION("""COMPUTED_VALUE"""),"tree")</f>
        <v>tree</v>
      </c>
      <c r="C725" s="8" t="str">
        <f>IFERROR(__xludf.DUMMYFUNCTION("""COMPUTED_VALUE"""),"sucker")</f>
        <v>sucker</v>
      </c>
      <c r="D725" s="55" t="str">
        <f>IFERROR(__xludf.DUMMYFUNCTION("""COMPUTED_VALUE"""),"Salacca zalacca")</f>
        <v>Salacca zalacca</v>
      </c>
      <c r="E725" s="8" t="str">
        <f>IFERROR(__xludf.DUMMYFUNCTION("""COMPUTED_VALUE"""),"Red")</f>
        <v>Red</v>
      </c>
      <c r="F725" s="8" t="str">
        <f>IFERROR(__xludf.DUMMYFUNCTION("""COMPUTED_VALUE"""),"Snake Fruit (Salak)")</f>
        <v>Snake Fruit (Salak)</v>
      </c>
      <c r="G725" s="8" t="str">
        <f>IFERROR(__xludf.DUMMYFUNCTION("""COMPUTED_VALUE"""),"Fruit du serpent (Salak)")</f>
        <v>Fruit du serpent (Salak)</v>
      </c>
      <c r="H725" s="8" t="str">
        <f>IFERROR(__xludf.DUMMYFUNCTION("""COMPUTED_VALUE"""),"seed")</f>
        <v>seed</v>
      </c>
      <c r="I725" s="8"/>
      <c r="J725" s="8"/>
      <c r="K725" s="8"/>
      <c r="L725" s="8"/>
      <c r="M725" s="8">
        <f>IFERROR(__xludf.DUMMYFUNCTION("""COMPUTED_VALUE"""),0.0)</f>
        <v>0</v>
      </c>
      <c r="N725" s="8">
        <f>IFERROR(__xludf.DUMMYFUNCTION("""COMPUTED_VALUE"""),38.0)</f>
        <v>38</v>
      </c>
      <c r="O725" s="8"/>
      <c r="P725" s="8"/>
      <c r="Q725" s="8"/>
      <c r="R725" s="8"/>
      <c r="S725" s="8"/>
      <c r="T725" s="8"/>
      <c r="U725" s="8"/>
      <c r="V725" s="8"/>
      <c r="W725" s="8"/>
      <c r="X725" s="8"/>
      <c r="Y725" s="8"/>
      <c r="Z725" s="8"/>
    </row>
    <row r="726">
      <c r="A726" s="8">
        <f>IFERROR(__xludf.DUMMYFUNCTION("""COMPUTED_VALUE"""),1136.0)</f>
        <v>1136</v>
      </c>
      <c r="B726" s="8" t="str">
        <f>IFERROR(__xludf.DUMMYFUNCTION("""COMPUTED_VALUE"""),"tree")</f>
        <v>tree</v>
      </c>
      <c r="C726" s="8" t="str">
        <f>IFERROR(__xludf.DUMMYFUNCTION("""COMPUTED_VALUE"""),"sucker")</f>
        <v>sucker</v>
      </c>
      <c r="D726" s="55" t="str">
        <f>IFERROR(__xludf.DUMMYFUNCTION("""COMPUTED_VALUE"""),"Salacca zalacca")</f>
        <v>Salacca zalacca</v>
      </c>
      <c r="E726" s="8" t="str">
        <f>IFERROR(__xludf.DUMMYFUNCTION("""COMPUTED_VALUE"""),"Red")</f>
        <v>Red</v>
      </c>
      <c r="F726" s="8" t="str">
        <f>IFERROR(__xludf.DUMMYFUNCTION("""COMPUTED_VALUE"""),"Snake Fruit (Salak)")</f>
        <v>Snake Fruit (Salak)</v>
      </c>
      <c r="G726" s="8" t="str">
        <f>IFERROR(__xludf.DUMMYFUNCTION("""COMPUTED_VALUE"""),"Fruit du serpent (Salak)")</f>
        <v>Fruit du serpent (Salak)</v>
      </c>
      <c r="H726" s="8" t="str">
        <f>IFERROR(__xludf.DUMMYFUNCTION("""COMPUTED_VALUE"""),"seed")</f>
        <v>seed</v>
      </c>
      <c r="I726" s="8"/>
      <c r="J726" s="8"/>
      <c r="K726" s="8"/>
      <c r="L726" s="8"/>
      <c r="M726" s="8">
        <f>IFERROR(__xludf.DUMMYFUNCTION("""COMPUTED_VALUE"""),0.0)</f>
        <v>0</v>
      </c>
      <c r="N726" s="8">
        <f>IFERROR(__xludf.DUMMYFUNCTION("""COMPUTED_VALUE"""),38.0)</f>
        <v>38</v>
      </c>
      <c r="O726" s="8"/>
      <c r="P726" s="8"/>
      <c r="Q726" s="8"/>
      <c r="R726" s="8"/>
      <c r="S726" s="8"/>
      <c r="T726" s="8"/>
      <c r="U726" s="8"/>
      <c r="V726" s="8"/>
      <c r="W726" s="8"/>
      <c r="X726" s="8"/>
      <c r="Y726" s="8"/>
      <c r="Z726" s="8"/>
    </row>
    <row r="727">
      <c r="A727" s="8">
        <f>IFERROR(__xludf.DUMMYFUNCTION("""COMPUTED_VALUE"""),1137.0)</f>
        <v>1137</v>
      </c>
      <c r="B727" s="8" t="str">
        <f>IFERROR(__xludf.DUMMYFUNCTION("""COMPUTED_VALUE"""),"tree")</f>
        <v>tree</v>
      </c>
      <c r="C727" s="8" t="str">
        <f>IFERROR(__xludf.DUMMYFUNCTION("""COMPUTED_VALUE"""),"sucker")</f>
        <v>sucker</v>
      </c>
      <c r="D727" s="55" t="str">
        <f>IFERROR(__xludf.DUMMYFUNCTION("""COMPUTED_VALUE"""),"Salacca zalacca")</f>
        <v>Salacca zalacca</v>
      </c>
      <c r="E727" s="8" t="str">
        <f>IFERROR(__xludf.DUMMYFUNCTION("""COMPUTED_VALUE"""),"Red")</f>
        <v>Red</v>
      </c>
      <c r="F727" s="8" t="str">
        <f>IFERROR(__xludf.DUMMYFUNCTION("""COMPUTED_VALUE"""),"Snake Fruit (Salak)")</f>
        <v>Snake Fruit (Salak)</v>
      </c>
      <c r="G727" s="8" t="str">
        <f>IFERROR(__xludf.DUMMYFUNCTION("""COMPUTED_VALUE"""),"Fruit du serpent (Salak)")</f>
        <v>Fruit du serpent (Salak)</v>
      </c>
      <c r="H727" s="8" t="str">
        <f>IFERROR(__xludf.DUMMYFUNCTION("""COMPUTED_VALUE"""),"seed")</f>
        <v>seed</v>
      </c>
      <c r="I727" s="8"/>
      <c r="J727" s="8"/>
      <c r="K727" s="8"/>
      <c r="L727" s="8"/>
      <c r="M727" s="8">
        <f>IFERROR(__xludf.DUMMYFUNCTION("""COMPUTED_VALUE"""),0.0)</f>
        <v>0</v>
      </c>
      <c r="N727" s="8">
        <f>IFERROR(__xludf.DUMMYFUNCTION("""COMPUTED_VALUE"""),38.0)</f>
        <v>38</v>
      </c>
      <c r="O727" s="8"/>
      <c r="P727" s="8"/>
      <c r="Q727" s="8"/>
      <c r="R727" s="8"/>
      <c r="S727" s="8"/>
      <c r="T727" s="8"/>
      <c r="U727" s="8"/>
      <c r="V727" s="8"/>
      <c r="W727" s="8"/>
      <c r="X727" s="8"/>
      <c r="Y727" s="8"/>
      <c r="Z727" s="8"/>
    </row>
    <row r="728">
      <c r="A728" s="8">
        <f>IFERROR(__xludf.DUMMYFUNCTION("""COMPUTED_VALUE"""),1138.0)</f>
        <v>1138</v>
      </c>
      <c r="B728" s="8" t="str">
        <f>IFERROR(__xludf.DUMMYFUNCTION("""COMPUTED_VALUE"""),"tree")</f>
        <v>tree</v>
      </c>
      <c r="C728" s="8" t="str">
        <f>IFERROR(__xludf.DUMMYFUNCTION("""COMPUTED_VALUE"""),"sucker")</f>
        <v>sucker</v>
      </c>
      <c r="D728" s="55" t="str">
        <f>IFERROR(__xludf.DUMMYFUNCTION("""COMPUTED_VALUE"""),"Salacca zalacca")</f>
        <v>Salacca zalacca</v>
      </c>
      <c r="E728" s="8" t="str">
        <f>IFERROR(__xludf.DUMMYFUNCTION("""COMPUTED_VALUE"""),"Red")</f>
        <v>Red</v>
      </c>
      <c r="F728" s="8" t="str">
        <f>IFERROR(__xludf.DUMMYFUNCTION("""COMPUTED_VALUE"""),"Snake Fruit (Salak)")</f>
        <v>Snake Fruit (Salak)</v>
      </c>
      <c r="G728" s="8" t="str">
        <f>IFERROR(__xludf.DUMMYFUNCTION("""COMPUTED_VALUE"""),"Fruit du serpent (Salak)")</f>
        <v>Fruit du serpent (Salak)</v>
      </c>
      <c r="H728" s="8" t="str">
        <f>IFERROR(__xludf.DUMMYFUNCTION("""COMPUTED_VALUE"""),"seed")</f>
        <v>seed</v>
      </c>
      <c r="I728" s="8"/>
      <c r="J728" s="8"/>
      <c r="K728" s="8"/>
      <c r="L728" s="8"/>
      <c r="M728" s="8">
        <f>IFERROR(__xludf.DUMMYFUNCTION("""COMPUTED_VALUE"""),0.0)</f>
        <v>0</v>
      </c>
      <c r="N728" s="8">
        <f>IFERROR(__xludf.DUMMYFUNCTION("""COMPUTED_VALUE"""),38.0)</f>
        <v>38</v>
      </c>
      <c r="O728" s="8"/>
      <c r="P728" s="8"/>
      <c r="Q728" s="8"/>
      <c r="R728" s="8"/>
      <c r="S728" s="8"/>
      <c r="T728" s="8"/>
      <c r="U728" s="8"/>
      <c r="V728" s="8"/>
      <c r="W728" s="8"/>
      <c r="X728" s="8"/>
      <c r="Y728" s="8"/>
      <c r="Z728" s="8"/>
    </row>
    <row r="729">
      <c r="A729" s="8">
        <f>IFERROR(__xludf.DUMMYFUNCTION("""COMPUTED_VALUE"""),1139.0)</f>
        <v>1139</v>
      </c>
      <c r="B729" s="8" t="str">
        <f>IFERROR(__xludf.DUMMYFUNCTION("""COMPUTED_VALUE"""),"tree")</f>
        <v>tree</v>
      </c>
      <c r="C729" s="8" t="str">
        <f>IFERROR(__xludf.DUMMYFUNCTION("""COMPUTED_VALUE"""),"sucker")</f>
        <v>sucker</v>
      </c>
      <c r="D729" s="55" t="str">
        <f>IFERROR(__xludf.DUMMYFUNCTION("""COMPUTED_VALUE"""),"Salacca zalacca")</f>
        <v>Salacca zalacca</v>
      </c>
      <c r="E729" s="8" t="str">
        <f>IFERROR(__xludf.DUMMYFUNCTION("""COMPUTED_VALUE"""),"Red")</f>
        <v>Red</v>
      </c>
      <c r="F729" s="8" t="str">
        <f>IFERROR(__xludf.DUMMYFUNCTION("""COMPUTED_VALUE"""),"Snake Fruit (Salak)")</f>
        <v>Snake Fruit (Salak)</v>
      </c>
      <c r="G729" s="8" t="str">
        <f>IFERROR(__xludf.DUMMYFUNCTION("""COMPUTED_VALUE"""),"Fruit du serpent (Salak)")</f>
        <v>Fruit du serpent (Salak)</v>
      </c>
      <c r="H729" s="8" t="str">
        <f>IFERROR(__xludf.DUMMYFUNCTION("""COMPUTED_VALUE"""),"seed")</f>
        <v>seed</v>
      </c>
      <c r="I729" s="8"/>
      <c r="J729" s="8"/>
      <c r="K729" s="8"/>
      <c r="L729" s="8"/>
      <c r="M729" s="8">
        <f>IFERROR(__xludf.DUMMYFUNCTION("""COMPUTED_VALUE"""),0.0)</f>
        <v>0</v>
      </c>
      <c r="N729" s="8">
        <f>IFERROR(__xludf.DUMMYFUNCTION("""COMPUTED_VALUE"""),38.0)</f>
        <v>38</v>
      </c>
      <c r="O729" s="8"/>
      <c r="P729" s="8"/>
      <c r="Q729" s="8"/>
      <c r="R729" s="8"/>
      <c r="S729" s="8"/>
      <c r="T729" s="8"/>
      <c r="U729" s="8"/>
      <c r="V729" s="8"/>
      <c r="W729" s="8"/>
      <c r="X729" s="8"/>
      <c r="Y729" s="8"/>
      <c r="Z729" s="8"/>
    </row>
    <row r="730">
      <c r="A730" s="8">
        <f>IFERROR(__xludf.DUMMYFUNCTION("""COMPUTED_VALUE"""),1140.0)</f>
        <v>1140</v>
      </c>
      <c r="B730" s="8" t="str">
        <f>IFERROR(__xludf.DUMMYFUNCTION("""COMPUTED_VALUE"""),"tree")</f>
        <v>tree</v>
      </c>
      <c r="C730" s="8" t="str">
        <f>IFERROR(__xludf.DUMMYFUNCTION("""COMPUTED_VALUE"""),"sucker")</f>
        <v>sucker</v>
      </c>
      <c r="D730" s="55" t="str">
        <f>IFERROR(__xludf.DUMMYFUNCTION("""COMPUTED_VALUE"""),"Salacca zalacca")</f>
        <v>Salacca zalacca</v>
      </c>
      <c r="E730" s="8" t="str">
        <f>IFERROR(__xludf.DUMMYFUNCTION("""COMPUTED_VALUE"""),"Red")</f>
        <v>Red</v>
      </c>
      <c r="F730" s="8" t="str">
        <f>IFERROR(__xludf.DUMMYFUNCTION("""COMPUTED_VALUE"""),"Snake Fruit (Salak)")</f>
        <v>Snake Fruit (Salak)</v>
      </c>
      <c r="G730" s="8" t="str">
        <f>IFERROR(__xludf.DUMMYFUNCTION("""COMPUTED_VALUE"""),"Fruit du serpent (Salak)")</f>
        <v>Fruit du serpent (Salak)</v>
      </c>
      <c r="H730" s="8" t="str">
        <f>IFERROR(__xludf.DUMMYFUNCTION("""COMPUTED_VALUE"""),"seed")</f>
        <v>seed</v>
      </c>
      <c r="I730" s="8"/>
      <c r="J730" s="8"/>
      <c r="K730" s="8"/>
      <c r="L730" s="8"/>
      <c r="M730" s="8">
        <f>IFERROR(__xludf.DUMMYFUNCTION("""COMPUTED_VALUE"""),0.0)</f>
        <v>0</v>
      </c>
      <c r="N730" s="8">
        <f>IFERROR(__xludf.DUMMYFUNCTION("""COMPUTED_VALUE"""),38.0)</f>
        <v>38</v>
      </c>
      <c r="O730" s="8"/>
      <c r="P730" s="8"/>
      <c r="Q730" s="8"/>
      <c r="R730" s="8"/>
      <c r="S730" s="8"/>
      <c r="T730" s="8"/>
      <c r="U730" s="8"/>
      <c r="V730" s="8"/>
      <c r="W730" s="8"/>
      <c r="X730" s="8"/>
      <c r="Y730" s="8"/>
      <c r="Z730" s="8"/>
    </row>
    <row r="731">
      <c r="A731" s="8">
        <f>IFERROR(__xludf.DUMMYFUNCTION("""COMPUTED_VALUE"""),1141.0)</f>
        <v>1141</v>
      </c>
      <c r="B731" s="8" t="str">
        <f>IFERROR(__xludf.DUMMYFUNCTION("""COMPUTED_VALUE"""),"tree")</f>
        <v>tree</v>
      </c>
      <c r="C731" s="8" t="str">
        <f>IFERROR(__xludf.DUMMYFUNCTION("""COMPUTED_VALUE"""),"sucker")</f>
        <v>sucker</v>
      </c>
      <c r="D731" s="55" t="str">
        <f>IFERROR(__xludf.DUMMYFUNCTION("""COMPUTED_VALUE"""),"Salacca zalacca")</f>
        <v>Salacca zalacca</v>
      </c>
      <c r="E731" s="8" t="str">
        <f>IFERROR(__xludf.DUMMYFUNCTION("""COMPUTED_VALUE"""),"Red")</f>
        <v>Red</v>
      </c>
      <c r="F731" s="8" t="str">
        <f>IFERROR(__xludf.DUMMYFUNCTION("""COMPUTED_VALUE"""),"Snake Fruit (Salak)")</f>
        <v>Snake Fruit (Salak)</v>
      </c>
      <c r="G731" s="8" t="str">
        <f>IFERROR(__xludf.DUMMYFUNCTION("""COMPUTED_VALUE"""),"Fruit du serpent (Salak)")</f>
        <v>Fruit du serpent (Salak)</v>
      </c>
      <c r="H731" s="8" t="str">
        <f>IFERROR(__xludf.DUMMYFUNCTION("""COMPUTED_VALUE"""),"seed")</f>
        <v>seed</v>
      </c>
      <c r="I731" s="8"/>
      <c r="J731" s="8"/>
      <c r="K731" s="8"/>
      <c r="L731" s="8"/>
      <c r="M731" s="8">
        <f>IFERROR(__xludf.DUMMYFUNCTION("""COMPUTED_VALUE"""),0.0)</f>
        <v>0</v>
      </c>
      <c r="N731" s="8">
        <f>IFERROR(__xludf.DUMMYFUNCTION("""COMPUTED_VALUE"""),38.0)</f>
        <v>38</v>
      </c>
      <c r="O731" s="8"/>
      <c r="P731" s="8"/>
      <c r="Q731" s="8"/>
      <c r="R731" s="8"/>
      <c r="S731" s="8"/>
      <c r="T731" s="8"/>
      <c r="U731" s="8"/>
      <c r="V731" s="8"/>
      <c r="W731" s="8"/>
      <c r="X731" s="8"/>
      <c r="Y731" s="8"/>
      <c r="Z731" s="8"/>
    </row>
    <row r="732">
      <c r="A732" s="8">
        <f>IFERROR(__xludf.DUMMYFUNCTION("""COMPUTED_VALUE"""),1142.0)</f>
        <v>1142</v>
      </c>
      <c r="B732" s="8" t="str">
        <f>IFERROR(__xludf.DUMMYFUNCTION("""COMPUTED_VALUE"""),"tree")</f>
        <v>tree</v>
      </c>
      <c r="C732" s="8" t="str">
        <f>IFERROR(__xludf.DUMMYFUNCTION("""COMPUTED_VALUE"""),"sucker")</f>
        <v>sucker</v>
      </c>
      <c r="D732" s="55" t="str">
        <f>IFERROR(__xludf.DUMMYFUNCTION("""COMPUTED_VALUE"""),"Salacca zalacca")</f>
        <v>Salacca zalacca</v>
      </c>
      <c r="E732" s="8" t="str">
        <f>IFERROR(__xludf.DUMMYFUNCTION("""COMPUTED_VALUE"""),"Red")</f>
        <v>Red</v>
      </c>
      <c r="F732" s="8" t="str">
        <f>IFERROR(__xludf.DUMMYFUNCTION("""COMPUTED_VALUE"""),"Snake Fruit (Salak)")</f>
        <v>Snake Fruit (Salak)</v>
      </c>
      <c r="G732" s="8" t="str">
        <f>IFERROR(__xludf.DUMMYFUNCTION("""COMPUTED_VALUE"""),"Fruit du serpent (Salak)")</f>
        <v>Fruit du serpent (Salak)</v>
      </c>
      <c r="H732" s="8" t="str">
        <f>IFERROR(__xludf.DUMMYFUNCTION("""COMPUTED_VALUE"""),"seed")</f>
        <v>seed</v>
      </c>
      <c r="I732" s="8"/>
      <c r="J732" s="8"/>
      <c r="K732" s="8"/>
      <c r="L732" s="8"/>
      <c r="M732" s="8">
        <f>IFERROR(__xludf.DUMMYFUNCTION("""COMPUTED_VALUE"""),0.0)</f>
        <v>0</v>
      </c>
      <c r="N732" s="8">
        <f>IFERROR(__xludf.DUMMYFUNCTION("""COMPUTED_VALUE"""),38.0)</f>
        <v>38</v>
      </c>
      <c r="O732" s="8"/>
      <c r="P732" s="8"/>
      <c r="Q732" s="8"/>
      <c r="R732" s="8"/>
      <c r="S732" s="8"/>
      <c r="T732" s="8"/>
      <c r="U732" s="8"/>
      <c r="V732" s="8"/>
      <c r="W732" s="8"/>
      <c r="X732" s="8"/>
      <c r="Y732" s="8"/>
      <c r="Z732" s="8"/>
    </row>
    <row r="733">
      <c r="A733" s="8">
        <f>IFERROR(__xludf.DUMMYFUNCTION("""COMPUTED_VALUE"""),1143.0)</f>
        <v>1143</v>
      </c>
      <c r="B733" s="8" t="str">
        <f>IFERROR(__xludf.DUMMYFUNCTION("""COMPUTED_VALUE"""),"tree")</f>
        <v>tree</v>
      </c>
      <c r="C733" s="8" t="str">
        <f>IFERROR(__xludf.DUMMYFUNCTION("""COMPUTED_VALUE"""),"sucker")</f>
        <v>sucker</v>
      </c>
      <c r="D733" s="55" t="str">
        <f>IFERROR(__xludf.DUMMYFUNCTION("""COMPUTED_VALUE"""),"Salacca zalacca")</f>
        <v>Salacca zalacca</v>
      </c>
      <c r="E733" s="8" t="str">
        <f>IFERROR(__xludf.DUMMYFUNCTION("""COMPUTED_VALUE"""),"Red")</f>
        <v>Red</v>
      </c>
      <c r="F733" s="8" t="str">
        <f>IFERROR(__xludf.DUMMYFUNCTION("""COMPUTED_VALUE"""),"Snake Fruit (Salak)")</f>
        <v>Snake Fruit (Salak)</v>
      </c>
      <c r="G733" s="8" t="str">
        <f>IFERROR(__xludf.DUMMYFUNCTION("""COMPUTED_VALUE"""),"Fruit du serpent (Salak)")</f>
        <v>Fruit du serpent (Salak)</v>
      </c>
      <c r="H733" s="8" t="str">
        <f>IFERROR(__xludf.DUMMYFUNCTION("""COMPUTED_VALUE"""),"seed")</f>
        <v>seed</v>
      </c>
      <c r="I733" s="8"/>
      <c r="J733" s="8"/>
      <c r="K733" s="8"/>
      <c r="L733" s="8"/>
      <c r="M733" s="8">
        <f>IFERROR(__xludf.DUMMYFUNCTION("""COMPUTED_VALUE"""),0.0)</f>
        <v>0</v>
      </c>
      <c r="N733" s="8">
        <f>IFERROR(__xludf.DUMMYFUNCTION("""COMPUTED_VALUE"""),38.0)</f>
        <v>38</v>
      </c>
      <c r="O733" s="8"/>
      <c r="P733" s="8"/>
      <c r="Q733" s="8"/>
      <c r="R733" s="8"/>
      <c r="S733" s="8"/>
      <c r="T733" s="8"/>
      <c r="U733" s="8"/>
      <c r="V733" s="8"/>
      <c r="W733" s="8"/>
      <c r="X733" s="8"/>
      <c r="Y733" s="8"/>
      <c r="Z733" s="8"/>
    </row>
    <row r="734">
      <c r="A734" s="8">
        <f>IFERROR(__xludf.DUMMYFUNCTION("""COMPUTED_VALUE"""),1144.0)</f>
        <v>1144</v>
      </c>
      <c r="B734" s="8" t="str">
        <f>IFERROR(__xludf.DUMMYFUNCTION("""COMPUTED_VALUE"""),"tree")</f>
        <v>tree</v>
      </c>
      <c r="C734" s="8" t="str">
        <f>IFERROR(__xludf.DUMMYFUNCTION("""COMPUTED_VALUE"""),"sucker")</f>
        <v>sucker</v>
      </c>
      <c r="D734" s="55" t="str">
        <f>IFERROR(__xludf.DUMMYFUNCTION("""COMPUTED_VALUE"""),"Salacca zalacca")</f>
        <v>Salacca zalacca</v>
      </c>
      <c r="E734" s="8" t="str">
        <f>IFERROR(__xludf.DUMMYFUNCTION("""COMPUTED_VALUE"""),"Red")</f>
        <v>Red</v>
      </c>
      <c r="F734" s="8" t="str">
        <f>IFERROR(__xludf.DUMMYFUNCTION("""COMPUTED_VALUE"""),"Snake Fruit (Salak)")</f>
        <v>Snake Fruit (Salak)</v>
      </c>
      <c r="G734" s="8" t="str">
        <f>IFERROR(__xludf.DUMMYFUNCTION("""COMPUTED_VALUE"""),"Fruit du serpent (Salak)")</f>
        <v>Fruit du serpent (Salak)</v>
      </c>
      <c r="H734" s="8" t="str">
        <f>IFERROR(__xludf.DUMMYFUNCTION("""COMPUTED_VALUE"""),"seed")</f>
        <v>seed</v>
      </c>
      <c r="I734" s="8"/>
      <c r="J734" s="8"/>
      <c r="K734" s="8"/>
      <c r="L734" s="8"/>
      <c r="M734" s="8">
        <f>IFERROR(__xludf.DUMMYFUNCTION("""COMPUTED_VALUE"""),0.0)</f>
        <v>0</v>
      </c>
      <c r="N734" s="8">
        <f>IFERROR(__xludf.DUMMYFUNCTION("""COMPUTED_VALUE"""),38.0)</f>
        <v>38</v>
      </c>
      <c r="O734" s="8"/>
      <c r="P734" s="8"/>
      <c r="Q734" s="8"/>
      <c r="R734" s="8"/>
      <c r="S734" s="8"/>
      <c r="T734" s="8"/>
      <c r="U734" s="8"/>
      <c r="V734" s="8"/>
      <c r="W734" s="8"/>
      <c r="X734" s="8"/>
      <c r="Y734" s="8"/>
      <c r="Z734" s="8"/>
    </row>
    <row r="735">
      <c r="A735" s="8">
        <f>IFERROR(__xludf.DUMMYFUNCTION("""COMPUTED_VALUE"""),1145.0)</f>
        <v>1145</v>
      </c>
      <c r="B735" s="8" t="str">
        <f>IFERROR(__xludf.DUMMYFUNCTION("""COMPUTED_VALUE"""),"tree")</f>
        <v>tree</v>
      </c>
      <c r="C735" s="8" t="str">
        <f>IFERROR(__xludf.DUMMYFUNCTION("""COMPUTED_VALUE"""),"sucker")</f>
        <v>sucker</v>
      </c>
      <c r="D735" s="55" t="str">
        <f>IFERROR(__xludf.DUMMYFUNCTION("""COMPUTED_VALUE"""),"Salacca zalacca")</f>
        <v>Salacca zalacca</v>
      </c>
      <c r="E735" s="8" t="str">
        <f>IFERROR(__xludf.DUMMYFUNCTION("""COMPUTED_VALUE"""),"Red")</f>
        <v>Red</v>
      </c>
      <c r="F735" s="8" t="str">
        <f>IFERROR(__xludf.DUMMYFUNCTION("""COMPUTED_VALUE"""),"Snake Fruit (Salak)")</f>
        <v>Snake Fruit (Salak)</v>
      </c>
      <c r="G735" s="8" t="str">
        <f>IFERROR(__xludf.DUMMYFUNCTION("""COMPUTED_VALUE"""),"Fruit du serpent (Salak)")</f>
        <v>Fruit du serpent (Salak)</v>
      </c>
      <c r="H735" s="8" t="str">
        <f>IFERROR(__xludf.DUMMYFUNCTION("""COMPUTED_VALUE"""),"seed")</f>
        <v>seed</v>
      </c>
      <c r="I735" s="8"/>
      <c r="J735" s="8"/>
      <c r="K735" s="8"/>
      <c r="L735" s="8"/>
      <c r="M735" s="8">
        <f>IFERROR(__xludf.DUMMYFUNCTION("""COMPUTED_VALUE"""),0.0)</f>
        <v>0</v>
      </c>
      <c r="N735" s="8">
        <f>IFERROR(__xludf.DUMMYFUNCTION("""COMPUTED_VALUE"""),38.0)</f>
        <v>38</v>
      </c>
      <c r="O735" s="8"/>
      <c r="P735" s="8"/>
      <c r="Q735" s="8"/>
      <c r="R735" s="8"/>
      <c r="S735" s="8"/>
      <c r="T735" s="8"/>
      <c r="U735" s="8"/>
      <c r="V735" s="8"/>
      <c r="W735" s="8"/>
      <c r="X735" s="8"/>
      <c r="Y735" s="8"/>
      <c r="Z735" s="8"/>
    </row>
    <row r="736">
      <c r="A736" s="8">
        <f>IFERROR(__xludf.DUMMYFUNCTION("""COMPUTED_VALUE"""),1146.0)</f>
        <v>1146</v>
      </c>
      <c r="B736" s="8" t="str">
        <f>IFERROR(__xludf.DUMMYFUNCTION("""COMPUTED_VALUE"""),"tree")</f>
        <v>tree</v>
      </c>
      <c r="C736" s="8" t="str">
        <f>IFERROR(__xludf.DUMMYFUNCTION("""COMPUTED_VALUE"""),"sucker")</f>
        <v>sucker</v>
      </c>
      <c r="D736" s="55" t="str">
        <f>IFERROR(__xludf.DUMMYFUNCTION("""COMPUTED_VALUE"""),"Salacca zalacca")</f>
        <v>Salacca zalacca</v>
      </c>
      <c r="E736" s="8" t="str">
        <f>IFERROR(__xludf.DUMMYFUNCTION("""COMPUTED_VALUE"""),"Red")</f>
        <v>Red</v>
      </c>
      <c r="F736" s="8" t="str">
        <f>IFERROR(__xludf.DUMMYFUNCTION("""COMPUTED_VALUE"""),"Snake Fruit (Salak)")</f>
        <v>Snake Fruit (Salak)</v>
      </c>
      <c r="G736" s="8" t="str">
        <f>IFERROR(__xludf.DUMMYFUNCTION("""COMPUTED_VALUE"""),"Fruit du serpent (Salak)")</f>
        <v>Fruit du serpent (Salak)</v>
      </c>
      <c r="H736" s="8" t="str">
        <f>IFERROR(__xludf.DUMMYFUNCTION("""COMPUTED_VALUE"""),"seed")</f>
        <v>seed</v>
      </c>
      <c r="I736" s="8"/>
      <c r="J736" s="8"/>
      <c r="K736" s="8"/>
      <c r="L736" s="8"/>
      <c r="M736" s="8">
        <f>IFERROR(__xludf.DUMMYFUNCTION("""COMPUTED_VALUE"""),0.0)</f>
        <v>0</v>
      </c>
      <c r="N736" s="8">
        <f>IFERROR(__xludf.DUMMYFUNCTION("""COMPUTED_VALUE"""),38.0)</f>
        <v>38</v>
      </c>
      <c r="O736" s="8"/>
      <c r="P736" s="8"/>
      <c r="Q736" s="8"/>
      <c r="R736" s="8"/>
      <c r="S736" s="8"/>
      <c r="T736" s="8"/>
      <c r="U736" s="8"/>
      <c r="V736" s="8"/>
      <c r="W736" s="8"/>
      <c r="X736" s="8"/>
      <c r="Y736" s="8"/>
      <c r="Z736" s="8"/>
    </row>
    <row r="737">
      <c r="A737" s="8">
        <f>IFERROR(__xludf.DUMMYFUNCTION("""COMPUTED_VALUE"""),1147.0)</f>
        <v>1147</v>
      </c>
      <c r="B737" s="8" t="str">
        <f>IFERROR(__xludf.DUMMYFUNCTION("""COMPUTED_VALUE"""),"tree")</f>
        <v>tree</v>
      </c>
      <c r="C737" s="8" t="str">
        <f>IFERROR(__xludf.DUMMYFUNCTION("""COMPUTED_VALUE"""),"sucker")</f>
        <v>sucker</v>
      </c>
      <c r="D737" s="55" t="str">
        <f>IFERROR(__xludf.DUMMYFUNCTION("""COMPUTED_VALUE"""),"Salacca zalacca")</f>
        <v>Salacca zalacca</v>
      </c>
      <c r="E737" s="8" t="str">
        <f>IFERROR(__xludf.DUMMYFUNCTION("""COMPUTED_VALUE"""),"Red")</f>
        <v>Red</v>
      </c>
      <c r="F737" s="8" t="str">
        <f>IFERROR(__xludf.DUMMYFUNCTION("""COMPUTED_VALUE"""),"Snake Fruit (Salak)")</f>
        <v>Snake Fruit (Salak)</v>
      </c>
      <c r="G737" s="8" t="str">
        <f>IFERROR(__xludf.DUMMYFUNCTION("""COMPUTED_VALUE"""),"Fruit du serpent (Salak)")</f>
        <v>Fruit du serpent (Salak)</v>
      </c>
      <c r="H737" s="8" t="str">
        <f>IFERROR(__xludf.DUMMYFUNCTION("""COMPUTED_VALUE"""),"seed")</f>
        <v>seed</v>
      </c>
      <c r="I737" s="8"/>
      <c r="J737" s="8"/>
      <c r="K737" s="8"/>
      <c r="L737" s="8"/>
      <c r="M737" s="8">
        <f>IFERROR(__xludf.DUMMYFUNCTION("""COMPUTED_VALUE"""),0.0)</f>
        <v>0</v>
      </c>
      <c r="N737" s="8">
        <f>IFERROR(__xludf.DUMMYFUNCTION("""COMPUTED_VALUE"""),38.0)</f>
        <v>38</v>
      </c>
      <c r="O737" s="8"/>
      <c r="P737" s="8"/>
      <c r="Q737" s="8"/>
      <c r="R737" s="8"/>
      <c r="S737" s="8"/>
      <c r="T737" s="8"/>
      <c r="U737" s="8"/>
      <c r="V737" s="8"/>
      <c r="W737" s="8"/>
      <c r="X737" s="8"/>
      <c r="Y737" s="8"/>
      <c r="Z737" s="8"/>
    </row>
    <row r="738">
      <c r="A738" s="8">
        <f>IFERROR(__xludf.DUMMYFUNCTION("""COMPUTED_VALUE"""),1148.0)</f>
        <v>1148</v>
      </c>
      <c r="B738" s="8" t="str">
        <f>IFERROR(__xludf.DUMMYFUNCTION("""COMPUTED_VALUE"""),"tree")</f>
        <v>tree</v>
      </c>
      <c r="C738" s="8" t="str">
        <f>IFERROR(__xludf.DUMMYFUNCTION("""COMPUTED_VALUE"""),"sucker")</f>
        <v>sucker</v>
      </c>
      <c r="D738" s="55" t="str">
        <f>IFERROR(__xludf.DUMMYFUNCTION("""COMPUTED_VALUE"""),"Salacca zalacca")</f>
        <v>Salacca zalacca</v>
      </c>
      <c r="E738" s="8" t="str">
        <f>IFERROR(__xludf.DUMMYFUNCTION("""COMPUTED_VALUE"""),"Red")</f>
        <v>Red</v>
      </c>
      <c r="F738" s="8" t="str">
        <f>IFERROR(__xludf.DUMMYFUNCTION("""COMPUTED_VALUE"""),"Snake Fruit (Salak)")</f>
        <v>Snake Fruit (Salak)</v>
      </c>
      <c r="G738" s="8" t="str">
        <f>IFERROR(__xludf.DUMMYFUNCTION("""COMPUTED_VALUE"""),"Fruit du serpent (Salak)")</f>
        <v>Fruit du serpent (Salak)</v>
      </c>
      <c r="H738" s="8" t="str">
        <f>IFERROR(__xludf.DUMMYFUNCTION("""COMPUTED_VALUE"""),"seed")</f>
        <v>seed</v>
      </c>
      <c r="I738" s="8"/>
      <c r="J738" s="8"/>
      <c r="K738" s="8"/>
      <c r="L738" s="8"/>
      <c r="M738" s="8">
        <f>IFERROR(__xludf.DUMMYFUNCTION("""COMPUTED_VALUE"""),0.0)</f>
        <v>0</v>
      </c>
      <c r="N738" s="8">
        <f>IFERROR(__xludf.DUMMYFUNCTION("""COMPUTED_VALUE"""),38.0)</f>
        <v>38</v>
      </c>
      <c r="O738" s="8"/>
      <c r="P738" s="8"/>
      <c r="Q738" s="8"/>
      <c r="R738" s="8"/>
      <c r="S738" s="8"/>
      <c r="T738" s="8"/>
      <c r="U738" s="8"/>
      <c r="V738" s="8"/>
      <c r="W738" s="8"/>
      <c r="X738" s="8"/>
      <c r="Y738" s="8"/>
      <c r="Z738" s="8"/>
    </row>
    <row r="739">
      <c r="A739" s="8">
        <f>IFERROR(__xludf.DUMMYFUNCTION("""COMPUTED_VALUE"""),1149.0)</f>
        <v>1149</v>
      </c>
      <c r="B739" s="8" t="str">
        <f>IFERROR(__xludf.DUMMYFUNCTION("""COMPUTED_VALUE"""),"tree")</f>
        <v>tree</v>
      </c>
      <c r="C739" s="8" t="str">
        <f>IFERROR(__xludf.DUMMYFUNCTION("""COMPUTED_VALUE"""),"sucker")</f>
        <v>sucker</v>
      </c>
      <c r="D739" s="55" t="str">
        <f>IFERROR(__xludf.DUMMYFUNCTION("""COMPUTED_VALUE"""),"Salacca zalacca")</f>
        <v>Salacca zalacca</v>
      </c>
      <c r="E739" s="8" t="str">
        <f>IFERROR(__xludf.DUMMYFUNCTION("""COMPUTED_VALUE"""),"Red")</f>
        <v>Red</v>
      </c>
      <c r="F739" s="8" t="str">
        <f>IFERROR(__xludf.DUMMYFUNCTION("""COMPUTED_VALUE"""),"Snake Fruit (Salak)")</f>
        <v>Snake Fruit (Salak)</v>
      </c>
      <c r="G739" s="8" t="str">
        <f>IFERROR(__xludf.DUMMYFUNCTION("""COMPUTED_VALUE"""),"Fruit du serpent (Salak)")</f>
        <v>Fruit du serpent (Salak)</v>
      </c>
      <c r="H739" s="8" t="str">
        <f>IFERROR(__xludf.DUMMYFUNCTION("""COMPUTED_VALUE"""),"seed")</f>
        <v>seed</v>
      </c>
      <c r="I739" s="8"/>
      <c r="J739" s="8"/>
      <c r="K739" s="8"/>
      <c r="L739" s="8"/>
      <c r="M739" s="8">
        <f>IFERROR(__xludf.DUMMYFUNCTION("""COMPUTED_VALUE"""),0.0)</f>
        <v>0</v>
      </c>
      <c r="N739" s="8">
        <f>IFERROR(__xludf.DUMMYFUNCTION("""COMPUTED_VALUE"""),38.0)</f>
        <v>38</v>
      </c>
      <c r="O739" s="8"/>
      <c r="P739" s="8"/>
      <c r="Q739" s="8"/>
      <c r="R739" s="8"/>
      <c r="S739" s="8"/>
      <c r="T739" s="8"/>
      <c r="U739" s="8"/>
      <c r="V739" s="8"/>
      <c r="W739" s="8"/>
      <c r="X739" s="8"/>
      <c r="Y739" s="8"/>
      <c r="Z739" s="8"/>
    </row>
    <row r="740">
      <c r="A740" s="8">
        <f>IFERROR(__xludf.DUMMYFUNCTION("""COMPUTED_VALUE"""),1150.0)</f>
        <v>1150</v>
      </c>
      <c r="B740" s="8" t="str">
        <f>IFERROR(__xludf.DUMMYFUNCTION("""COMPUTED_VALUE"""),"tree")</f>
        <v>tree</v>
      </c>
      <c r="C740" s="8" t="str">
        <f>IFERROR(__xludf.DUMMYFUNCTION("""COMPUTED_VALUE"""),"sucker")</f>
        <v>sucker</v>
      </c>
      <c r="D740" s="55" t="str">
        <f>IFERROR(__xludf.DUMMYFUNCTION("""COMPUTED_VALUE"""),"Salacca zalacca")</f>
        <v>Salacca zalacca</v>
      </c>
      <c r="E740" s="8" t="str">
        <f>IFERROR(__xludf.DUMMYFUNCTION("""COMPUTED_VALUE"""),"Red")</f>
        <v>Red</v>
      </c>
      <c r="F740" s="8" t="str">
        <f>IFERROR(__xludf.DUMMYFUNCTION("""COMPUTED_VALUE"""),"Snake Fruit (Salak)")</f>
        <v>Snake Fruit (Salak)</v>
      </c>
      <c r="G740" s="8" t="str">
        <f>IFERROR(__xludf.DUMMYFUNCTION("""COMPUTED_VALUE"""),"Fruit du serpent (Salak)")</f>
        <v>Fruit du serpent (Salak)</v>
      </c>
      <c r="H740" s="8" t="str">
        <f>IFERROR(__xludf.DUMMYFUNCTION("""COMPUTED_VALUE"""),"seed")</f>
        <v>seed</v>
      </c>
      <c r="I740" s="8"/>
      <c r="J740" s="8"/>
      <c r="K740" s="8"/>
      <c r="L740" s="8"/>
      <c r="M740" s="8">
        <f>IFERROR(__xludf.DUMMYFUNCTION("""COMPUTED_VALUE"""),0.0)</f>
        <v>0</v>
      </c>
      <c r="N740" s="8">
        <f>IFERROR(__xludf.DUMMYFUNCTION("""COMPUTED_VALUE"""),38.0)</f>
        <v>38</v>
      </c>
      <c r="O740" s="8"/>
      <c r="P740" s="8"/>
      <c r="Q740" s="8"/>
      <c r="R740" s="8"/>
      <c r="S740" s="8"/>
      <c r="T740" s="8"/>
      <c r="U740" s="8"/>
      <c r="V740" s="8"/>
      <c r="W740" s="8"/>
      <c r="X740" s="8"/>
      <c r="Y740" s="8"/>
      <c r="Z740" s="8"/>
    </row>
    <row r="741">
      <c r="A741" s="8">
        <f>IFERROR(__xludf.DUMMYFUNCTION("""COMPUTED_VALUE"""),1151.0)</f>
        <v>1151</v>
      </c>
      <c r="B741" s="8" t="str">
        <f>IFERROR(__xludf.DUMMYFUNCTION("""COMPUTED_VALUE"""),"tree")</f>
        <v>tree</v>
      </c>
      <c r="C741" s="8" t="str">
        <f>IFERROR(__xludf.DUMMYFUNCTION("""COMPUTED_VALUE"""),"sucker")</f>
        <v>sucker</v>
      </c>
      <c r="D741" s="55" t="str">
        <f>IFERROR(__xludf.DUMMYFUNCTION("""COMPUTED_VALUE"""),"Salacca zalacca")</f>
        <v>Salacca zalacca</v>
      </c>
      <c r="E741" s="8" t="str">
        <f>IFERROR(__xludf.DUMMYFUNCTION("""COMPUTED_VALUE"""),"Red")</f>
        <v>Red</v>
      </c>
      <c r="F741" s="8" t="str">
        <f>IFERROR(__xludf.DUMMYFUNCTION("""COMPUTED_VALUE"""),"Snake Fruit (Salak)")</f>
        <v>Snake Fruit (Salak)</v>
      </c>
      <c r="G741" s="8" t="str">
        <f>IFERROR(__xludf.DUMMYFUNCTION("""COMPUTED_VALUE"""),"Fruit du serpent (Salak)")</f>
        <v>Fruit du serpent (Salak)</v>
      </c>
      <c r="H741" s="8" t="str">
        <f>IFERROR(__xludf.DUMMYFUNCTION("""COMPUTED_VALUE"""),"seed")</f>
        <v>seed</v>
      </c>
      <c r="I741" s="8"/>
      <c r="J741" s="8"/>
      <c r="K741" s="8"/>
      <c r="L741" s="8"/>
      <c r="M741" s="8">
        <f>IFERROR(__xludf.DUMMYFUNCTION("""COMPUTED_VALUE"""),0.0)</f>
        <v>0</v>
      </c>
      <c r="N741" s="8">
        <f>IFERROR(__xludf.DUMMYFUNCTION("""COMPUTED_VALUE"""),38.0)</f>
        <v>38</v>
      </c>
      <c r="O741" s="8"/>
      <c r="P741" s="8"/>
      <c r="Q741" s="8"/>
      <c r="R741" s="8"/>
      <c r="S741" s="8"/>
      <c r="T741" s="8"/>
      <c r="U741" s="8"/>
      <c r="V741" s="8"/>
      <c r="W741" s="8"/>
      <c r="X741" s="8"/>
      <c r="Y741" s="8"/>
      <c r="Z741" s="8"/>
    </row>
    <row r="742">
      <c r="A742" s="8">
        <f>IFERROR(__xludf.DUMMYFUNCTION("""COMPUTED_VALUE"""),1152.0)</f>
        <v>1152</v>
      </c>
      <c r="B742" s="8" t="str">
        <f>IFERROR(__xludf.DUMMYFUNCTION("""COMPUTED_VALUE"""),"tree")</f>
        <v>tree</v>
      </c>
      <c r="C742" s="8" t="str">
        <f>IFERROR(__xludf.DUMMYFUNCTION("""COMPUTED_VALUE"""),"sucker")</f>
        <v>sucker</v>
      </c>
      <c r="D742" s="55" t="str">
        <f>IFERROR(__xludf.DUMMYFUNCTION("""COMPUTED_VALUE"""),"Salacca zalacca")</f>
        <v>Salacca zalacca</v>
      </c>
      <c r="E742" s="8" t="str">
        <f>IFERROR(__xludf.DUMMYFUNCTION("""COMPUTED_VALUE"""),"Red")</f>
        <v>Red</v>
      </c>
      <c r="F742" s="8" t="str">
        <f>IFERROR(__xludf.DUMMYFUNCTION("""COMPUTED_VALUE"""),"Snake Fruit (Salak)")</f>
        <v>Snake Fruit (Salak)</v>
      </c>
      <c r="G742" s="8" t="str">
        <f>IFERROR(__xludf.DUMMYFUNCTION("""COMPUTED_VALUE"""),"Fruit du serpent (Salak)")</f>
        <v>Fruit du serpent (Salak)</v>
      </c>
      <c r="H742" s="8" t="str">
        <f>IFERROR(__xludf.DUMMYFUNCTION("""COMPUTED_VALUE"""),"seed")</f>
        <v>seed</v>
      </c>
      <c r="I742" s="8"/>
      <c r="J742" s="8"/>
      <c r="K742" s="8"/>
      <c r="L742" s="8"/>
      <c r="M742" s="8">
        <f>IFERROR(__xludf.DUMMYFUNCTION("""COMPUTED_VALUE"""),0.0)</f>
        <v>0</v>
      </c>
      <c r="N742" s="8">
        <f>IFERROR(__xludf.DUMMYFUNCTION("""COMPUTED_VALUE"""),38.0)</f>
        <v>38</v>
      </c>
      <c r="O742" s="8"/>
      <c r="P742" s="8"/>
      <c r="Q742" s="8"/>
      <c r="R742" s="8"/>
      <c r="S742" s="8"/>
      <c r="T742" s="8"/>
      <c r="U742" s="8"/>
      <c r="V742" s="8"/>
      <c r="W742" s="8"/>
      <c r="X742" s="8"/>
      <c r="Y742" s="8"/>
      <c r="Z742" s="8"/>
    </row>
    <row r="743">
      <c r="A743" s="8">
        <f>IFERROR(__xludf.DUMMYFUNCTION("""COMPUTED_VALUE"""),1153.0)</f>
        <v>1153</v>
      </c>
      <c r="B743" s="8" t="str">
        <f>IFERROR(__xludf.DUMMYFUNCTION("""COMPUTED_VALUE"""),"tree")</f>
        <v>tree</v>
      </c>
      <c r="C743" s="8" t="str">
        <f>IFERROR(__xludf.DUMMYFUNCTION("""COMPUTED_VALUE"""),"sucker")</f>
        <v>sucker</v>
      </c>
      <c r="D743" s="55" t="str">
        <f>IFERROR(__xludf.DUMMYFUNCTION("""COMPUTED_VALUE"""),"Salacca zalacca")</f>
        <v>Salacca zalacca</v>
      </c>
      <c r="E743" s="8" t="str">
        <f>IFERROR(__xludf.DUMMYFUNCTION("""COMPUTED_VALUE"""),"Red")</f>
        <v>Red</v>
      </c>
      <c r="F743" s="8" t="str">
        <f>IFERROR(__xludf.DUMMYFUNCTION("""COMPUTED_VALUE"""),"Snake Fruit (Salak)")</f>
        <v>Snake Fruit (Salak)</v>
      </c>
      <c r="G743" s="8" t="str">
        <f>IFERROR(__xludf.DUMMYFUNCTION("""COMPUTED_VALUE"""),"Fruit du serpent (Salak)")</f>
        <v>Fruit du serpent (Salak)</v>
      </c>
      <c r="H743" s="8" t="str">
        <f>IFERROR(__xludf.DUMMYFUNCTION("""COMPUTED_VALUE"""),"seed")</f>
        <v>seed</v>
      </c>
      <c r="I743" s="8"/>
      <c r="J743" s="8"/>
      <c r="K743" s="8"/>
      <c r="L743" s="8"/>
      <c r="M743" s="8">
        <f>IFERROR(__xludf.DUMMYFUNCTION("""COMPUTED_VALUE"""),0.0)</f>
        <v>0</v>
      </c>
      <c r="N743" s="8">
        <f>IFERROR(__xludf.DUMMYFUNCTION("""COMPUTED_VALUE"""),38.0)</f>
        <v>38</v>
      </c>
      <c r="O743" s="8"/>
      <c r="P743" s="8"/>
      <c r="Q743" s="8"/>
      <c r="R743" s="8"/>
      <c r="S743" s="8"/>
      <c r="T743" s="8"/>
      <c r="U743" s="8"/>
      <c r="V743" s="8"/>
      <c r="W743" s="8"/>
      <c r="X743" s="8"/>
      <c r="Y743" s="8"/>
      <c r="Z743" s="8"/>
    </row>
    <row r="744">
      <c r="A744" s="8">
        <f>IFERROR(__xludf.DUMMYFUNCTION("""COMPUTED_VALUE"""),1154.0)</f>
        <v>1154</v>
      </c>
      <c r="B744" s="8" t="str">
        <f>IFERROR(__xludf.DUMMYFUNCTION("""COMPUTED_VALUE"""),"tree")</f>
        <v>tree</v>
      </c>
      <c r="C744" s="8" t="str">
        <f>IFERROR(__xludf.DUMMYFUNCTION("""COMPUTED_VALUE"""),"sucker")</f>
        <v>sucker</v>
      </c>
      <c r="D744" s="55" t="str">
        <f>IFERROR(__xludf.DUMMYFUNCTION("""COMPUTED_VALUE"""),"Salacca zalacca")</f>
        <v>Salacca zalacca</v>
      </c>
      <c r="E744" s="8" t="str">
        <f>IFERROR(__xludf.DUMMYFUNCTION("""COMPUTED_VALUE"""),"Red")</f>
        <v>Red</v>
      </c>
      <c r="F744" s="8" t="str">
        <f>IFERROR(__xludf.DUMMYFUNCTION("""COMPUTED_VALUE"""),"Snake Fruit (Salak)")</f>
        <v>Snake Fruit (Salak)</v>
      </c>
      <c r="G744" s="8" t="str">
        <f>IFERROR(__xludf.DUMMYFUNCTION("""COMPUTED_VALUE"""),"Fruit du serpent (Salak)")</f>
        <v>Fruit du serpent (Salak)</v>
      </c>
      <c r="H744" s="8" t="str">
        <f>IFERROR(__xludf.DUMMYFUNCTION("""COMPUTED_VALUE"""),"seed")</f>
        <v>seed</v>
      </c>
      <c r="I744" s="8"/>
      <c r="J744" s="8"/>
      <c r="K744" s="8"/>
      <c r="L744" s="8"/>
      <c r="M744" s="8">
        <f>IFERROR(__xludf.DUMMYFUNCTION("""COMPUTED_VALUE"""),0.0)</f>
        <v>0</v>
      </c>
      <c r="N744" s="8">
        <f>IFERROR(__xludf.DUMMYFUNCTION("""COMPUTED_VALUE"""),38.0)</f>
        <v>38</v>
      </c>
      <c r="O744" s="8"/>
      <c r="P744" s="8"/>
      <c r="Q744" s="8"/>
      <c r="R744" s="8"/>
      <c r="S744" s="8"/>
      <c r="T744" s="8"/>
      <c r="U744" s="8"/>
      <c r="V744" s="8"/>
      <c r="W744" s="8"/>
      <c r="X744" s="8"/>
      <c r="Y744" s="8"/>
      <c r="Z744" s="8"/>
    </row>
    <row r="745">
      <c r="A745" s="8">
        <f>IFERROR(__xludf.DUMMYFUNCTION("""COMPUTED_VALUE"""),1155.0)</f>
        <v>1155</v>
      </c>
      <c r="B745" s="8" t="str">
        <f>IFERROR(__xludf.DUMMYFUNCTION("""COMPUTED_VALUE"""),"tree")</f>
        <v>tree</v>
      </c>
      <c r="C745" s="8" t="str">
        <f>IFERROR(__xludf.DUMMYFUNCTION("""COMPUTED_VALUE"""),"sucker")</f>
        <v>sucker</v>
      </c>
      <c r="D745" s="55" t="str">
        <f>IFERROR(__xludf.DUMMYFUNCTION("""COMPUTED_VALUE"""),"Salacca zalacca")</f>
        <v>Salacca zalacca</v>
      </c>
      <c r="E745" s="8" t="str">
        <f>IFERROR(__xludf.DUMMYFUNCTION("""COMPUTED_VALUE"""),"Red")</f>
        <v>Red</v>
      </c>
      <c r="F745" s="8" t="str">
        <f>IFERROR(__xludf.DUMMYFUNCTION("""COMPUTED_VALUE"""),"Snake Fruit (Salak)")</f>
        <v>Snake Fruit (Salak)</v>
      </c>
      <c r="G745" s="8" t="str">
        <f>IFERROR(__xludf.DUMMYFUNCTION("""COMPUTED_VALUE"""),"Fruit du serpent (Salak)")</f>
        <v>Fruit du serpent (Salak)</v>
      </c>
      <c r="H745" s="8" t="str">
        <f>IFERROR(__xludf.DUMMYFUNCTION("""COMPUTED_VALUE"""),"seed")</f>
        <v>seed</v>
      </c>
      <c r="I745" s="8"/>
      <c r="J745" s="8"/>
      <c r="K745" s="8"/>
      <c r="L745" s="8"/>
      <c r="M745" s="8">
        <f>IFERROR(__xludf.DUMMYFUNCTION("""COMPUTED_VALUE"""),0.0)</f>
        <v>0</v>
      </c>
      <c r="N745" s="8">
        <f>IFERROR(__xludf.DUMMYFUNCTION("""COMPUTED_VALUE"""),38.0)</f>
        <v>38</v>
      </c>
      <c r="O745" s="8"/>
      <c r="P745" s="8"/>
      <c r="Q745" s="8"/>
      <c r="R745" s="8"/>
      <c r="S745" s="8"/>
      <c r="T745" s="8"/>
      <c r="U745" s="8"/>
      <c r="V745" s="8"/>
      <c r="W745" s="8"/>
      <c r="X745" s="8"/>
      <c r="Y745" s="8"/>
      <c r="Z745" s="8"/>
    </row>
    <row r="746">
      <c r="A746" s="8">
        <f>IFERROR(__xludf.DUMMYFUNCTION("""COMPUTED_VALUE"""),1156.0)</f>
        <v>1156</v>
      </c>
      <c r="B746" s="8" t="str">
        <f>IFERROR(__xludf.DUMMYFUNCTION("""COMPUTED_VALUE"""),"tree")</f>
        <v>tree</v>
      </c>
      <c r="C746" s="8" t="str">
        <f>IFERROR(__xludf.DUMMYFUNCTION("""COMPUTED_VALUE"""),"sucker")</f>
        <v>sucker</v>
      </c>
      <c r="D746" s="55" t="str">
        <f>IFERROR(__xludf.DUMMYFUNCTION("""COMPUTED_VALUE"""),"Salacca zalacca")</f>
        <v>Salacca zalacca</v>
      </c>
      <c r="E746" s="8" t="str">
        <f>IFERROR(__xludf.DUMMYFUNCTION("""COMPUTED_VALUE"""),"Red")</f>
        <v>Red</v>
      </c>
      <c r="F746" s="8" t="str">
        <f>IFERROR(__xludf.DUMMYFUNCTION("""COMPUTED_VALUE"""),"Snake Fruit (Salak)")</f>
        <v>Snake Fruit (Salak)</v>
      </c>
      <c r="G746" s="8" t="str">
        <f>IFERROR(__xludf.DUMMYFUNCTION("""COMPUTED_VALUE"""),"Fruit du serpent (Salak)")</f>
        <v>Fruit du serpent (Salak)</v>
      </c>
      <c r="H746" s="8" t="str">
        <f>IFERROR(__xludf.DUMMYFUNCTION("""COMPUTED_VALUE"""),"seed")</f>
        <v>seed</v>
      </c>
      <c r="I746" s="8"/>
      <c r="J746" s="8"/>
      <c r="K746" s="8"/>
      <c r="L746" s="8"/>
      <c r="M746" s="8">
        <f>IFERROR(__xludf.DUMMYFUNCTION("""COMPUTED_VALUE"""),0.0)</f>
        <v>0</v>
      </c>
      <c r="N746" s="8">
        <f>IFERROR(__xludf.DUMMYFUNCTION("""COMPUTED_VALUE"""),38.0)</f>
        <v>38</v>
      </c>
      <c r="O746" s="8"/>
      <c r="P746" s="8"/>
      <c r="Q746" s="8"/>
      <c r="R746" s="8"/>
      <c r="S746" s="8"/>
      <c r="T746" s="8"/>
      <c r="U746" s="8"/>
      <c r="V746" s="8"/>
      <c r="W746" s="8"/>
      <c r="X746" s="8"/>
      <c r="Y746" s="8"/>
      <c r="Z746" s="8"/>
    </row>
    <row r="747">
      <c r="A747" s="8">
        <f>IFERROR(__xludf.DUMMYFUNCTION("""COMPUTED_VALUE"""),1157.0)</f>
        <v>1157</v>
      </c>
      <c r="B747" s="8" t="str">
        <f>IFERROR(__xludf.DUMMYFUNCTION("""COMPUTED_VALUE"""),"tree")</f>
        <v>tree</v>
      </c>
      <c r="C747" s="8" t="str">
        <f>IFERROR(__xludf.DUMMYFUNCTION("""COMPUTED_VALUE"""),"sucker")</f>
        <v>sucker</v>
      </c>
      <c r="D747" s="55" t="str">
        <f>IFERROR(__xludf.DUMMYFUNCTION("""COMPUTED_VALUE"""),"Salacca zalacca")</f>
        <v>Salacca zalacca</v>
      </c>
      <c r="E747" s="8" t="str">
        <f>IFERROR(__xludf.DUMMYFUNCTION("""COMPUTED_VALUE"""),"Red")</f>
        <v>Red</v>
      </c>
      <c r="F747" s="8" t="str">
        <f>IFERROR(__xludf.DUMMYFUNCTION("""COMPUTED_VALUE"""),"Snake Fruit (Salak)")</f>
        <v>Snake Fruit (Salak)</v>
      </c>
      <c r="G747" s="8" t="str">
        <f>IFERROR(__xludf.DUMMYFUNCTION("""COMPUTED_VALUE"""),"Fruit du serpent (Salak)")</f>
        <v>Fruit du serpent (Salak)</v>
      </c>
      <c r="H747" s="8" t="str">
        <f>IFERROR(__xludf.DUMMYFUNCTION("""COMPUTED_VALUE"""),"seed")</f>
        <v>seed</v>
      </c>
      <c r="I747" s="8"/>
      <c r="J747" s="8"/>
      <c r="K747" s="8"/>
      <c r="L747" s="8"/>
      <c r="M747" s="8">
        <f>IFERROR(__xludf.DUMMYFUNCTION("""COMPUTED_VALUE"""),0.0)</f>
        <v>0</v>
      </c>
      <c r="N747" s="8">
        <f>IFERROR(__xludf.DUMMYFUNCTION("""COMPUTED_VALUE"""),38.0)</f>
        <v>38</v>
      </c>
      <c r="O747" s="8"/>
      <c r="P747" s="8"/>
      <c r="Q747" s="8"/>
      <c r="R747" s="8"/>
      <c r="S747" s="8"/>
      <c r="T747" s="8"/>
      <c r="U747" s="8"/>
      <c r="V747" s="8"/>
      <c r="W747" s="8"/>
      <c r="X747" s="8"/>
      <c r="Y747" s="8"/>
      <c r="Z747" s="8"/>
    </row>
    <row r="748">
      <c r="A748" s="8">
        <f>IFERROR(__xludf.DUMMYFUNCTION("""COMPUTED_VALUE"""),1158.0)</f>
        <v>1158</v>
      </c>
      <c r="B748" s="8" t="str">
        <f>IFERROR(__xludf.DUMMYFUNCTION("""COMPUTED_VALUE"""),"tree")</f>
        <v>tree</v>
      </c>
      <c r="C748" s="8" t="str">
        <f>IFERROR(__xludf.DUMMYFUNCTION("""COMPUTED_VALUE"""),"sucker")</f>
        <v>sucker</v>
      </c>
      <c r="D748" s="55" t="str">
        <f>IFERROR(__xludf.DUMMYFUNCTION("""COMPUTED_VALUE"""),"Salacca zalacca")</f>
        <v>Salacca zalacca</v>
      </c>
      <c r="E748" s="8" t="str">
        <f>IFERROR(__xludf.DUMMYFUNCTION("""COMPUTED_VALUE"""),"Red")</f>
        <v>Red</v>
      </c>
      <c r="F748" s="8" t="str">
        <f>IFERROR(__xludf.DUMMYFUNCTION("""COMPUTED_VALUE"""),"Snake Fruit (Salak)")</f>
        <v>Snake Fruit (Salak)</v>
      </c>
      <c r="G748" s="8" t="str">
        <f>IFERROR(__xludf.DUMMYFUNCTION("""COMPUTED_VALUE"""),"Fruit du serpent (Salak)")</f>
        <v>Fruit du serpent (Salak)</v>
      </c>
      <c r="H748" s="8" t="str">
        <f>IFERROR(__xludf.DUMMYFUNCTION("""COMPUTED_VALUE"""),"seed")</f>
        <v>seed</v>
      </c>
      <c r="I748" s="8"/>
      <c r="J748" s="8"/>
      <c r="K748" s="8"/>
      <c r="L748" s="8"/>
      <c r="M748" s="8">
        <f>IFERROR(__xludf.DUMMYFUNCTION("""COMPUTED_VALUE"""),0.0)</f>
        <v>0</v>
      </c>
      <c r="N748" s="8">
        <f>IFERROR(__xludf.DUMMYFUNCTION("""COMPUTED_VALUE"""),38.0)</f>
        <v>38</v>
      </c>
      <c r="O748" s="8"/>
      <c r="P748" s="8"/>
      <c r="Q748" s="8"/>
      <c r="R748" s="8"/>
      <c r="S748" s="8"/>
      <c r="T748" s="8"/>
      <c r="U748" s="8"/>
      <c r="V748" s="8"/>
      <c r="W748" s="8"/>
      <c r="X748" s="8"/>
      <c r="Y748" s="8"/>
      <c r="Z748" s="8"/>
    </row>
    <row r="749">
      <c r="A749" s="8">
        <f>IFERROR(__xludf.DUMMYFUNCTION("""COMPUTED_VALUE"""),1159.0)</f>
        <v>1159</v>
      </c>
      <c r="B749" s="8" t="str">
        <f>IFERROR(__xludf.DUMMYFUNCTION("""COMPUTED_VALUE"""),"tree")</f>
        <v>tree</v>
      </c>
      <c r="C749" s="8" t="str">
        <f>IFERROR(__xludf.DUMMYFUNCTION("""COMPUTED_VALUE"""),"sucker")</f>
        <v>sucker</v>
      </c>
      <c r="D749" s="55" t="str">
        <f>IFERROR(__xludf.DUMMYFUNCTION("""COMPUTED_VALUE"""),"Salacca zalacca")</f>
        <v>Salacca zalacca</v>
      </c>
      <c r="E749" s="8" t="str">
        <f>IFERROR(__xludf.DUMMYFUNCTION("""COMPUTED_VALUE"""),"Red")</f>
        <v>Red</v>
      </c>
      <c r="F749" s="8" t="str">
        <f>IFERROR(__xludf.DUMMYFUNCTION("""COMPUTED_VALUE"""),"Snake Fruit (Salak)")</f>
        <v>Snake Fruit (Salak)</v>
      </c>
      <c r="G749" s="8" t="str">
        <f>IFERROR(__xludf.DUMMYFUNCTION("""COMPUTED_VALUE"""),"Fruit du serpent (Salak)")</f>
        <v>Fruit du serpent (Salak)</v>
      </c>
      <c r="H749" s="8" t="str">
        <f>IFERROR(__xludf.DUMMYFUNCTION("""COMPUTED_VALUE"""),"seed")</f>
        <v>seed</v>
      </c>
      <c r="I749" s="8"/>
      <c r="J749" s="8"/>
      <c r="K749" s="8"/>
      <c r="L749" s="8"/>
      <c r="M749" s="8">
        <f>IFERROR(__xludf.DUMMYFUNCTION("""COMPUTED_VALUE"""),0.0)</f>
        <v>0</v>
      </c>
      <c r="N749" s="8">
        <f>IFERROR(__xludf.DUMMYFUNCTION("""COMPUTED_VALUE"""),38.0)</f>
        <v>38</v>
      </c>
      <c r="O749" s="8"/>
      <c r="P749" s="8"/>
      <c r="Q749" s="8"/>
      <c r="R749" s="8"/>
      <c r="S749" s="8"/>
      <c r="T749" s="8"/>
      <c r="U749" s="8"/>
      <c r="V749" s="8"/>
      <c r="W749" s="8"/>
      <c r="X749" s="8"/>
      <c r="Y749" s="8"/>
      <c r="Z749" s="8"/>
    </row>
    <row r="750">
      <c r="A750" s="8">
        <f>IFERROR(__xludf.DUMMYFUNCTION("""COMPUTED_VALUE"""),1160.0)</f>
        <v>1160</v>
      </c>
      <c r="B750" s="8" t="str">
        <f>IFERROR(__xludf.DUMMYFUNCTION("""COMPUTED_VALUE"""),"tree")</f>
        <v>tree</v>
      </c>
      <c r="C750" s="8" t="str">
        <f>IFERROR(__xludf.DUMMYFUNCTION("""COMPUTED_VALUE"""),"sucker")</f>
        <v>sucker</v>
      </c>
      <c r="D750" s="55" t="str">
        <f>IFERROR(__xludf.DUMMYFUNCTION("""COMPUTED_VALUE"""),"Salacca zalacca")</f>
        <v>Salacca zalacca</v>
      </c>
      <c r="E750" s="8" t="str">
        <f>IFERROR(__xludf.DUMMYFUNCTION("""COMPUTED_VALUE"""),"Red")</f>
        <v>Red</v>
      </c>
      <c r="F750" s="8" t="str">
        <f>IFERROR(__xludf.DUMMYFUNCTION("""COMPUTED_VALUE"""),"Snake Fruit (Salak)")</f>
        <v>Snake Fruit (Salak)</v>
      </c>
      <c r="G750" s="8" t="str">
        <f>IFERROR(__xludf.DUMMYFUNCTION("""COMPUTED_VALUE"""),"Fruit du serpent (Salak)")</f>
        <v>Fruit du serpent (Salak)</v>
      </c>
      <c r="H750" s="8" t="str">
        <f>IFERROR(__xludf.DUMMYFUNCTION("""COMPUTED_VALUE"""),"seed")</f>
        <v>seed</v>
      </c>
      <c r="I750" s="8"/>
      <c r="J750" s="8"/>
      <c r="K750" s="8"/>
      <c r="L750" s="8"/>
      <c r="M750" s="8">
        <f>IFERROR(__xludf.DUMMYFUNCTION("""COMPUTED_VALUE"""),0.0)</f>
        <v>0</v>
      </c>
      <c r="N750" s="8">
        <f>IFERROR(__xludf.DUMMYFUNCTION("""COMPUTED_VALUE"""),38.0)</f>
        <v>38</v>
      </c>
      <c r="O750" s="8"/>
      <c r="P750" s="8"/>
      <c r="Q750" s="8"/>
      <c r="R750" s="8"/>
      <c r="S750" s="8"/>
      <c r="T750" s="8"/>
      <c r="U750" s="8"/>
      <c r="V750" s="8"/>
      <c r="W750" s="8"/>
      <c r="X750" s="8"/>
      <c r="Y750" s="8"/>
      <c r="Z750" s="8"/>
    </row>
    <row r="751">
      <c r="A751" s="8">
        <f>IFERROR(__xludf.DUMMYFUNCTION("""COMPUTED_VALUE"""),1161.0)</f>
        <v>1161</v>
      </c>
      <c r="B751" s="8" t="str">
        <f>IFERROR(__xludf.DUMMYFUNCTION("""COMPUTED_VALUE"""),"tree")</f>
        <v>tree</v>
      </c>
      <c r="C751" s="8" t="str">
        <f>IFERROR(__xludf.DUMMYFUNCTION("""COMPUTED_VALUE"""),"sucker")</f>
        <v>sucker</v>
      </c>
      <c r="D751" s="55" t="str">
        <f>IFERROR(__xludf.DUMMYFUNCTION("""COMPUTED_VALUE"""),"Salacca zalacca")</f>
        <v>Salacca zalacca</v>
      </c>
      <c r="E751" s="8" t="str">
        <f>IFERROR(__xludf.DUMMYFUNCTION("""COMPUTED_VALUE"""),"Red")</f>
        <v>Red</v>
      </c>
      <c r="F751" s="8" t="str">
        <f>IFERROR(__xludf.DUMMYFUNCTION("""COMPUTED_VALUE"""),"Snake Fruit (Salak)")</f>
        <v>Snake Fruit (Salak)</v>
      </c>
      <c r="G751" s="8" t="str">
        <f>IFERROR(__xludf.DUMMYFUNCTION("""COMPUTED_VALUE"""),"Fruit du serpent (Salak)")</f>
        <v>Fruit du serpent (Salak)</v>
      </c>
      <c r="H751" s="8" t="str">
        <f>IFERROR(__xludf.DUMMYFUNCTION("""COMPUTED_VALUE"""),"seed")</f>
        <v>seed</v>
      </c>
      <c r="I751" s="8"/>
      <c r="J751" s="8"/>
      <c r="K751" s="8"/>
      <c r="L751" s="8"/>
      <c r="M751" s="8">
        <f>IFERROR(__xludf.DUMMYFUNCTION("""COMPUTED_VALUE"""),0.0)</f>
        <v>0</v>
      </c>
      <c r="N751" s="8">
        <f>IFERROR(__xludf.DUMMYFUNCTION("""COMPUTED_VALUE"""),38.0)</f>
        <v>38</v>
      </c>
      <c r="O751" s="8"/>
      <c r="P751" s="8"/>
      <c r="Q751" s="8"/>
      <c r="R751" s="8"/>
      <c r="S751" s="8"/>
      <c r="T751" s="8"/>
      <c r="U751" s="8"/>
      <c r="V751" s="8"/>
      <c r="W751" s="8"/>
      <c r="X751" s="8"/>
      <c r="Y751" s="8"/>
      <c r="Z751" s="8"/>
    </row>
    <row r="752">
      <c r="A752" s="8">
        <f>IFERROR(__xludf.DUMMYFUNCTION("""COMPUTED_VALUE"""),1162.0)</f>
        <v>1162</v>
      </c>
      <c r="B752" s="8" t="str">
        <f>IFERROR(__xludf.DUMMYFUNCTION("""COMPUTED_VALUE"""),"tree")</f>
        <v>tree</v>
      </c>
      <c r="C752" s="8" t="str">
        <f>IFERROR(__xludf.DUMMYFUNCTION("""COMPUTED_VALUE"""),"sucker")</f>
        <v>sucker</v>
      </c>
      <c r="D752" s="55" t="str">
        <f>IFERROR(__xludf.DUMMYFUNCTION("""COMPUTED_VALUE"""),"Salacca zalacca")</f>
        <v>Salacca zalacca</v>
      </c>
      <c r="E752" s="8" t="str">
        <f>IFERROR(__xludf.DUMMYFUNCTION("""COMPUTED_VALUE"""),"Red")</f>
        <v>Red</v>
      </c>
      <c r="F752" s="8" t="str">
        <f>IFERROR(__xludf.DUMMYFUNCTION("""COMPUTED_VALUE"""),"Snake Fruit (Salak)")</f>
        <v>Snake Fruit (Salak)</v>
      </c>
      <c r="G752" s="8" t="str">
        <f>IFERROR(__xludf.DUMMYFUNCTION("""COMPUTED_VALUE"""),"Fruit du serpent (Salak)")</f>
        <v>Fruit du serpent (Salak)</v>
      </c>
      <c r="H752" s="8" t="str">
        <f>IFERROR(__xludf.DUMMYFUNCTION("""COMPUTED_VALUE"""),"seed")</f>
        <v>seed</v>
      </c>
      <c r="I752" s="8"/>
      <c r="J752" s="8"/>
      <c r="K752" s="8"/>
      <c r="L752" s="8"/>
      <c r="M752" s="8">
        <f>IFERROR(__xludf.DUMMYFUNCTION("""COMPUTED_VALUE"""),0.0)</f>
        <v>0</v>
      </c>
      <c r="N752" s="8">
        <f>IFERROR(__xludf.DUMMYFUNCTION("""COMPUTED_VALUE"""),38.0)</f>
        <v>38</v>
      </c>
      <c r="O752" s="8"/>
      <c r="P752" s="8"/>
      <c r="Q752" s="8"/>
      <c r="R752" s="8"/>
      <c r="S752" s="8"/>
      <c r="T752" s="8"/>
      <c r="U752" s="8"/>
      <c r="V752" s="8"/>
      <c r="W752" s="8"/>
      <c r="X752" s="8"/>
      <c r="Y752" s="8"/>
      <c r="Z752" s="8"/>
    </row>
    <row r="753">
      <c r="A753" s="8">
        <f>IFERROR(__xludf.DUMMYFUNCTION("""COMPUTED_VALUE"""),1163.0)</f>
        <v>1163</v>
      </c>
      <c r="B753" s="8" t="str">
        <f>IFERROR(__xludf.DUMMYFUNCTION("""COMPUTED_VALUE"""),"tree")</f>
        <v>tree</v>
      </c>
      <c r="C753" s="8" t="str">
        <f>IFERROR(__xludf.DUMMYFUNCTION("""COMPUTED_VALUE"""),"sucker")</f>
        <v>sucker</v>
      </c>
      <c r="D753" s="55" t="str">
        <f>IFERROR(__xludf.DUMMYFUNCTION("""COMPUTED_VALUE"""),"Salacca zalacca")</f>
        <v>Salacca zalacca</v>
      </c>
      <c r="E753" s="8" t="str">
        <f>IFERROR(__xludf.DUMMYFUNCTION("""COMPUTED_VALUE"""),"Red")</f>
        <v>Red</v>
      </c>
      <c r="F753" s="8" t="str">
        <f>IFERROR(__xludf.DUMMYFUNCTION("""COMPUTED_VALUE"""),"Snake Fruit (Salak)")</f>
        <v>Snake Fruit (Salak)</v>
      </c>
      <c r="G753" s="8" t="str">
        <f>IFERROR(__xludf.DUMMYFUNCTION("""COMPUTED_VALUE"""),"Fruit du serpent (Salak)")</f>
        <v>Fruit du serpent (Salak)</v>
      </c>
      <c r="H753" s="8" t="str">
        <f>IFERROR(__xludf.DUMMYFUNCTION("""COMPUTED_VALUE"""),"seed")</f>
        <v>seed</v>
      </c>
      <c r="I753" s="8"/>
      <c r="J753" s="8"/>
      <c r="K753" s="8"/>
      <c r="L753" s="8"/>
      <c r="M753" s="8">
        <f>IFERROR(__xludf.DUMMYFUNCTION("""COMPUTED_VALUE"""),0.0)</f>
        <v>0</v>
      </c>
      <c r="N753" s="8">
        <f>IFERROR(__xludf.DUMMYFUNCTION("""COMPUTED_VALUE"""),38.0)</f>
        <v>38</v>
      </c>
      <c r="O753" s="8"/>
      <c r="P753" s="8"/>
      <c r="Q753" s="8"/>
      <c r="R753" s="8"/>
      <c r="S753" s="8"/>
      <c r="T753" s="8"/>
      <c r="U753" s="8"/>
      <c r="V753" s="8"/>
      <c r="W753" s="8"/>
      <c r="X753" s="8"/>
      <c r="Y753" s="8"/>
      <c r="Z753" s="8"/>
    </row>
    <row r="754">
      <c r="A754" s="8">
        <f>IFERROR(__xludf.DUMMYFUNCTION("""COMPUTED_VALUE"""),1164.0)</f>
        <v>1164</v>
      </c>
      <c r="B754" s="8" t="str">
        <f>IFERROR(__xludf.DUMMYFUNCTION("""COMPUTED_VALUE"""),"tree")</f>
        <v>tree</v>
      </c>
      <c r="C754" s="8" t="str">
        <f>IFERROR(__xludf.DUMMYFUNCTION("""COMPUTED_VALUE"""),"sucker")</f>
        <v>sucker</v>
      </c>
      <c r="D754" s="55" t="str">
        <f>IFERROR(__xludf.DUMMYFUNCTION("""COMPUTED_VALUE"""),"Salacca zalacca")</f>
        <v>Salacca zalacca</v>
      </c>
      <c r="E754" s="8" t="str">
        <f>IFERROR(__xludf.DUMMYFUNCTION("""COMPUTED_VALUE"""),"Red")</f>
        <v>Red</v>
      </c>
      <c r="F754" s="8" t="str">
        <f>IFERROR(__xludf.DUMMYFUNCTION("""COMPUTED_VALUE"""),"Snake Fruit (Salak)")</f>
        <v>Snake Fruit (Salak)</v>
      </c>
      <c r="G754" s="8" t="str">
        <f>IFERROR(__xludf.DUMMYFUNCTION("""COMPUTED_VALUE"""),"Fruit du serpent (Salak)")</f>
        <v>Fruit du serpent (Salak)</v>
      </c>
      <c r="H754" s="8" t="str">
        <f>IFERROR(__xludf.DUMMYFUNCTION("""COMPUTED_VALUE"""),"seed")</f>
        <v>seed</v>
      </c>
      <c r="I754" s="8"/>
      <c r="J754" s="8"/>
      <c r="K754" s="8"/>
      <c r="L754" s="8"/>
      <c r="M754" s="8">
        <f>IFERROR(__xludf.DUMMYFUNCTION("""COMPUTED_VALUE"""),0.0)</f>
        <v>0</v>
      </c>
      <c r="N754" s="8">
        <f>IFERROR(__xludf.DUMMYFUNCTION("""COMPUTED_VALUE"""),38.0)</f>
        <v>38</v>
      </c>
      <c r="O754" s="8"/>
      <c r="P754" s="8"/>
      <c r="Q754" s="8"/>
      <c r="R754" s="8"/>
      <c r="S754" s="8"/>
      <c r="T754" s="8"/>
      <c r="U754" s="8"/>
      <c r="V754" s="8"/>
      <c r="W754" s="8"/>
      <c r="X754" s="8"/>
      <c r="Y754" s="8"/>
      <c r="Z754" s="8"/>
    </row>
    <row r="755">
      <c r="A755" s="8">
        <f>IFERROR(__xludf.DUMMYFUNCTION("""COMPUTED_VALUE"""),1165.0)</f>
        <v>1165</v>
      </c>
      <c r="B755" s="8" t="str">
        <f>IFERROR(__xludf.DUMMYFUNCTION("""COMPUTED_VALUE"""),"tree")</f>
        <v>tree</v>
      </c>
      <c r="C755" s="8" t="str">
        <f>IFERROR(__xludf.DUMMYFUNCTION("""COMPUTED_VALUE"""),"sucker")</f>
        <v>sucker</v>
      </c>
      <c r="D755" s="55" t="str">
        <f>IFERROR(__xludf.DUMMYFUNCTION("""COMPUTED_VALUE"""),"Salacca zalacca")</f>
        <v>Salacca zalacca</v>
      </c>
      <c r="E755" s="8" t="str">
        <f>IFERROR(__xludf.DUMMYFUNCTION("""COMPUTED_VALUE"""),"Red")</f>
        <v>Red</v>
      </c>
      <c r="F755" s="8" t="str">
        <f>IFERROR(__xludf.DUMMYFUNCTION("""COMPUTED_VALUE"""),"Snake Fruit (Salak)")</f>
        <v>Snake Fruit (Salak)</v>
      </c>
      <c r="G755" s="8" t="str">
        <f>IFERROR(__xludf.DUMMYFUNCTION("""COMPUTED_VALUE"""),"Fruit du serpent (Salak)")</f>
        <v>Fruit du serpent (Salak)</v>
      </c>
      <c r="H755" s="8" t="str">
        <f>IFERROR(__xludf.DUMMYFUNCTION("""COMPUTED_VALUE"""),"seed")</f>
        <v>seed</v>
      </c>
      <c r="I755" s="8"/>
      <c r="J755" s="8"/>
      <c r="K755" s="8"/>
      <c r="L755" s="8"/>
      <c r="M755" s="8">
        <f>IFERROR(__xludf.DUMMYFUNCTION("""COMPUTED_VALUE"""),0.0)</f>
        <v>0</v>
      </c>
      <c r="N755" s="8">
        <f>IFERROR(__xludf.DUMMYFUNCTION("""COMPUTED_VALUE"""),38.0)</f>
        <v>38</v>
      </c>
      <c r="O755" s="8"/>
      <c r="P755" s="8"/>
      <c r="Q755" s="8"/>
      <c r="R755" s="8"/>
      <c r="S755" s="8"/>
      <c r="T755" s="8"/>
      <c r="U755" s="8"/>
      <c r="V755" s="8"/>
      <c r="W755" s="8"/>
      <c r="X755" s="8"/>
      <c r="Y755" s="8"/>
      <c r="Z755" s="8"/>
    </row>
    <row r="756">
      <c r="A756" s="8">
        <f>IFERROR(__xludf.DUMMYFUNCTION("""COMPUTED_VALUE"""),1166.0)</f>
        <v>1166</v>
      </c>
      <c r="B756" s="8" t="str">
        <f>IFERROR(__xludf.DUMMYFUNCTION("""COMPUTED_VALUE"""),"tree")</f>
        <v>tree</v>
      </c>
      <c r="C756" s="8" t="str">
        <f>IFERROR(__xludf.DUMMYFUNCTION("""COMPUTED_VALUE"""),"sucker")</f>
        <v>sucker</v>
      </c>
      <c r="D756" s="55" t="str">
        <f>IFERROR(__xludf.DUMMYFUNCTION("""COMPUTED_VALUE"""),"Salacca zalacca")</f>
        <v>Salacca zalacca</v>
      </c>
      <c r="E756" s="8" t="str">
        <f>IFERROR(__xludf.DUMMYFUNCTION("""COMPUTED_VALUE"""),"Bali")</f>
        <v>Bali</v>
      </c>
      <c r="F756" s="8" t="str">
        <f>IFERROR(__xludf.DUMMYFUNCTION("""COMPUTED_VALUE"""),"Snake Fruit (Salak)")</f>
        <v>Snake Fruit (Salak)</v>
      </c>
      <c r="G756" s="8" t="str">
        <f>IFERROR(__xludf.DUMMYFUNCTION("""COMPUTED_VALUE"""),"Fruit du serpent (Salak)")</f>
        <v>Fruit du serpent (Salak)</v>
      </c>
      <c r="H756" s="8" t="str">
        <f>IFERROR(__xludf.DUMMYFUNCTION("""COMPUTED_VALUE"""),"seed")</f>
        <v>seed</v>
      </c>
      <c r="I756" s="8"/>
      <c r="J756" s="8"/>
      <c r="K756" s="8"/>
      <c r="L756" s="8"/>
      <c r="M756" s="8">
        <f>IFERROR(__xludf.DUMMYFUNCTION("""COMPUTED_VALUE"""),0.0)</f>
        <v>0</v>
      </c>
      <c r="N756" s="8">
        <f>IFERROR(__xludf.DUMMYFUNCTION("""COMPUTED_VALUE"""),17.0)</f>
        <v>17</v>
      </c>
      <c r="O756" s="8"/>
      <c r="P756" s="8"/>
      <c r="Q756" s="8"/>
      <c r="R756" s="8"/>
      <c r="S756" s="8"/>
      <c r="T756" s="8"/>
      <c r="U756" s="8"/>
      <c r="V756" s="8"/>
      <c r="W756" s="8"/>
      <c r="X756" s="8"/>
      <c r="Y756" s="8"/>
      <c r="Z756" s="8"/>
    </row>
    <row r="757">
      <c r="A757" s="8">
        <f>IFERROR(__xludf.DUMMYFUNCTION("""COMPUTED_VALUE"""),1167.0)</f>
        <v>1167</v>
      </c>
      <c r="B757" s="8" t="str">
        <f>IFERROR(__xludf.DUMMYFUNCTION("""COMPUTED_VALUE"""),"tree")</f>
        <v>tree</v>
      </c>
      <c r="C757" s="8" t="str">
        <f>IFERROR(__xludf.DUMMYFUNCTION("""COMPUTED_VALUE"""),"sucker")</f>
        <v>sucker</v>
      </c>
      <c r="D757" s="55" t="str">
        <f>IFERROR(__xludf.DUMMYFUNCTION("""COMPUTED_VALUE"""),"Salacca zalacca")</f>
        <v>Salacca zalacca</v>
      </c>
      <c r="E757" s="8" t="str">
        <f>IFERROR(__xludf.DUMMYFUNCTION("""COMPUTED_VALUE"""),"Bali")</f>
        <v>Bali</v>
      </c>
      <c r="F757" s="8" t="str">
        <f>IFERROR(__xludf.DUMMYFUNCTION("""COMPUTED_VALUE"""),"Snake Fruit (Salak)")</f>
        <v>Snake Fruit (Salak)</v>
      </c>
      <c r="G757" s="8" t="str">
        <f>IFERROR(__xludf.DUMMYFUNCTION("""COMPUTED_VALUE"""),"Fruit du serpent (Salak)")</f>
        <v>Fruit du serpent (Salak)</v>
      </c>
      <c r="H757" s="8" t="str">
        <f>IFERROR(__xludf.DUMMYFUNCTION("""COMPUTED_VALUE"""),"seed")</f>
        <v>seed</v>
      </c>
      <c r="I757" s="8"/>
      <c r="J757" s="8"/>
      <c r="K757" s="8"/>
      <c r="L757" s="8"/>
      <c r="M757" s="8">
        <f>IFERROR(__xludf.DUMMYFUNCTION("""COMPUTED_VALUE"""),0.0)</f>
        <v>0</v>
      </c>
      <c r="N757" s="8">
        <f>IFERROR(__xludf.DUMMYFUNCTION("""COMPUTED_VALUE"""),17.0)</f>
        <v>17</v>
      </c>
      <c r="O757" s="8"/>
      <c r="P757" s="8"/>
      <c r="Q757" s="8"/>
      <c r="R757" s="8"/>
      <c r="S757" s="8"/>
      <c r="T757" s="8"/>
      <c r="U757" s="8"/>
      <c r="V757" s="8"/>
      <c r="W757" s="8"/>
      <c r="X757" s="8"/>
      <c r="Y757" s="8"/>
      <c r="Z757" s="8"/>
    </row>
    <row r="758">
      <c r="A758" s="8">
        <f>IFERROR(__xludf.DUMMYFUNCTION("""COMPUTED_VALUE"""),1168.0)</f>
        <v>1168</v>
      </c>
      <c r="B758" s="8" t="str">
        <f>IFERROR(__xludf.DUMMYFUNCTION("""COMPUTED_VALUE"""),"tree")</f>
        <v>tree</v>
      </c>
      <c r="C758" s="8" t="str">
        <f>IFERROR(__xludf.DUMMYFUNCTION("""COMPUTED_VALUE"""),"sucker")</f>
        <v>sucker</v>
      </c>
      <c r="D758" s="55" t="str">
        <f>IFERROR(__xludf.DUMMYFUNCTION("""COMPUTED_VALUE"""),"Salacca zalacca")</f>
        <v>Salacca zalacca</v>
      </c>
      <c r="E758" s="8" t="str">
        <f>IFERROR(__xludf.DUMMYFUNCTION("""COMPUTED_VALUE"""),"Bali")</f>
        <v>Bali</v>
      </c>
      <c r="F758" s="8" t="str">
        <f>IFERROR(__xludf.DUMMYFUNCTION("""COMPUTED_VALUE"""),"Snake Fruit (Salak)")</f>
        <v>Snake Fruit (Salak)</v>
      </c>
      <c r="G758" s="8" t="str">
        <f>IFERROR(__xludf.DUMMYFUNCTION("""COMPUTED_VALUE"""),"Fruit du serpent (Salak)")</f>
        <v>Fruit du serpent (Salak)</v>
      </c>
      <c r="H758" s="8" t="str">
        <f>IFERROR(__xludf.DUMMYFUNCTION("""COMPUTED_VALUE"""),"seed")</f>
        <v>seed</v>
      </c>
      <c r="I758" s="8"/>
      <c r="J758" s="8"/>
      <c r="K758" s="8"/>
      <c r="L758" s="8"/>
      <c r="M758" s="8">
        <f>IFERROR(__xludf.DUMMYFUNCTION("""COMPUTED_VALUE"""),0.0)</f>
        <v>0</v>
      </c>
      <c r="N758" s="8">
        <f>IFERROR(__xludf.DUMMYFUNCTION("""COMPUTED_VALUE"""),17.0)</f>
        <v>17</v>
      </c>
      <c r="O758" s="8"/>
      <c r="P758" s="8"/>
      <c r="Q758" s="8"/>
      <c r="R758" s="8"/>
      <c r="S758" s="8"/>
      <c r="T758" s="8"/>
      <c r="U758" s="8"/>
      <c r="V758" s="8"/>
      <c r="W758" s="8"/>
      <c r="X758" s="8"/>
      <c r="Y758" s="8"/>
      <c r="Z758" s="8"/>
    </row>
    <row r="759">
      <c r="A759" s="8">
        <f>IFERROR(__xludf.DUMMYFUNCTION("""COMPUTED_VALUE"""),1169.0)</f>
        <v>1169</v>
      </c>
      <c r="B759" s="8" t="str">
        <f>IFERROR(__xludf.DUMMYFUNCTION("""COMPUTED_VALUE"""),"tree")</f>
        <v>tree</v>
      </c>
      <c r="C759" s="8" t="str">
        <f>IFERROR(__xludf.DUMMYFUNCTION("""COMPUTED_VALUE"""),"sucker")</f>
        <v>sucker</v>
      </c>
      <c r="D759" s="55" t="str">
        <f>IFERROR(__xludf.DUMMYFUNCTION("""COMPUTED_VALUE"""),"Salacca zalacca")</f>
        <v>Salacca zalacca</v>
      </c>
      <c r="E759" s="8" t="str">
        <f>IFERROR(__xludf.DUMMYFUNCTION("""COMPUTED_VALUE"""),"Bali")</f>
        <v>Bali</v>
      </c>
      <c r="F759" s="8" t="str">
        <f>IFERROR(__xludf.DUMMYFUNCTION("""COMPUTED_VALUE"""),"Snake Fruit (Salak)")</f>
        <v>Snake Fruit (Salak)</v>
      </c>
      <c r="G759" s="8" t="str">
        <f>IFERROR(__xludf.DUMMYFUNCTION("""COMPUTED_VALUE"""),"Fruit du serpent (Salak)")</f>
        <v>Fruit du serpent (Salak)</v>
      </c>
      <c r="H759" s="8" t="str">
        <f>IFERROR(__xludf.DUMMYFUNCTION("""COMPUTED_VALUE"""),"seed")</f>
        <v>seed</v>
      </c>
      <c r="I759" s="8"/>
      <c r="J759" s="8"/>
      <c r="K759" s="8"/>
      <c r="L759" s="8"/>
      <c r="M759" s="8">
        <f>IFERROR(__xludf.DUMMYFUNCTION("""COMPUTED_VALUE"""),0.0)</f>
        <v>0</v>
      </c>
      <c r="N759" s="8">
        <f>IFERROR(__xludf.DUMMYFUNCTION("""COMPUTED_VALUE"""),17.0)</f>
        <v>17</v>
      </c>
      <c r="O759" s="8"/>
      <c r="P759" s="8"/>
      <c r="Q759" s="8"/>
      <c r="R759" s="8"/>
      <c r="S759" s="8"/>
      <c r="T759" s="8"/>
      <c r="U759" s="8"/>
      <c r="V759" s="8"/>
      <c r="W759" s="8"/>
      <c r="X759" s="8"/>
      <c r="Y759" s="8"/>
      <c r="Z759" s="8"/>
    </row>
    <row r="760">
      <c r="A760" s="8">
        <f>IFERROR(__xludf.DUMMYFUNCTION("""COMPUTED_VALUE"""),1170.0)</f>
        <v>1170</v>
      </c>
      <c r="B760" s="8" t="str">
        <f>IFERROR(__xludf.DUMMYFUNCTION("""COMPUTED_VALUE"""),"tree")</f>
        <v>tree</v>
      </c>
      <c r="C760" s="8" t="str">
        <f>IFERROR(__xludf.DUMMYFUNCTION("""COMPUTED_VALUE"""),"sucker")</f>
        <v>sucker</v>
      </c>
      <c r="D760" s="55" t="str">
        <f>IFERROR(__xludf.DUMMYFUNCTION("""COMPUTED_VALUE"""),"Salacca zalacca")</f>
        <v>Salacca zalacca</v>
      </c>
      <c r="E760" s="8" t="str">
        <f>IFERROR(__xludf.DUMMYFUNCTION("""COMPUTED_VALUE"""),"Bali")</f>
        <v>Bali</v>
      </c>
      <c r="F760" s="8" t="str">
        <f>IFERROR(__xludf.DUMMYFUNCTION("""COMPUTED_VALUE"""),"Snake Fruit (Salak)")</f>
        <v>Snake Fruit (Salak)</v>
      </c>
      <c r="G760" s="8" t="str">
        <f>IFERROR(__xludf.DUMMYFUNCTION("""COMPUTED_VALUE"""),"Fruit du serpent (Salak)")</f>
        <v>Fruit du serpent (Salak)</v>
      </c>
      <c r="H760" s="8" t="str">
        <f>IFERROR(__xludf.DUMMYFUNCTION("""COMPUTED_VALUE"""),"seed")</f>
        <v>seed</v>
      </c>
      <c r="I760" s="8"/>
      <c r="J760" s="8"/>
      <c r="K760" s="8"/>
      <c r="L760" s="8"/>
      <c r="M760" s="8">
        <f>IFERROR(__xludf.DUMMYFUNCTION("""COMPUTED_VALUE"""),0.0)</f>
        <v>0</v>
      </c>
      <c r="N760" s="8">
        <f>IFERROR(__xludf.DUMMYFUNCTION("""COMPUTED_VALUE"""),17.0)</f>
        <v>17</v>
      </c>
      <c r="O760" s="8"/>
      <c r="P760" s="8"/>
      <c r="Q760" s="8"/>
      <c r="R760" s="8"/>
      <c r="S760" s="8"/>
      <c r="T760" s="8"/>
      <c r="U760" s="8"/>
      <c r="V760" s="8"/>
      <c r="W760" s="8"/>
      <c r="X760" s="8"/>
      <c r="Y760" s="8"/>
      <c r="Z760" s="8"/>
    </row>
    <row r="761">
      <c r="A761" s="8">
        <f>IFERROR(__xludf.DUMMYFUNCTION("""COMPUTED_VALUE"""),1171.0)</f>
        <v>1171</v>
      </c>
      <c r="B761" s="8" t="str">
        <f>IFERROR(__xludf.DUMMYFUNCTION("""COMPUTED_VALUE"""),"tree")</f>
        <v>tree</v>
      </c>
      <c r="C761" s="8" t="str">
        <f>IFERROR(__xludf.DUMMYFUNCTION("""COMPUTED_VALUE"""),"sucker")</f>
        <v>sucker</v>
      </c>
      <c r="D761" s="55" t="str">
        <f>IFERROR(__xludf.DUMMYFUNCTION("""COMPUTED_VALUE"""),"Salacca zalacca")</f>
        <v>Salacca zalacca</v>
      </c>
      <c r="E761" s="8" t="str">
        <f>IFERROR(__xludf.DUMMYFUNCTION("""COMPUTED_VALUE"""),"Bali")</f>
        <v>Bali</v>
      </c>
      <c r="F761" s="8" t="str">
        <f>IFERROR(__xludf.DUMMYFUNCTION("""COMPUTED_VALUE"""),"Snake Fruit (Salak)")</f>
        <v>Snake Fruit (Salak)</v>
      </c>
      <c r="G761" s="8" t="str">
        <f>IFERROR(__xludf.DUMMYFUNCTION("""COMPUTED_VALUE"""),"Fruit du serpent (Salak)")</f>
        <v>Fruit du serpent (Salak)</v>
      </c>
      <c r="H761" s="8" t="str">
        <f>IFERROR(__xludf.DUMMYFUNCTION("""COMPUTED_VALUE"""),"seed")</f>
        <v>seed</v>
      </c>
      <c r="I761" s="8"/>
      <c r="J761" s="8"/>
      <c r="K761" s="8"/>
      <c r="L761" s="8"/>
      <c r="M761" s="8">
        <f>IFERROR(__xludf.DUMMYFUNCTION("""COMPUTED_VALUE"""),0.0)</f>
        <v>0</v>
      </c>
      <c r="N761" s="8">
        <f>IFERROR(__xludf.DUMMYFUNCTION("""COMPUTED_VALUE"""),17.0)</f>
        <v>17</v>
      </c>
      <c r="O761" s="8"/>
      <c r="P761" s="8"/>
      <c r="Q761" s="8"/>
      <c r="R761" s="8"/>
      <c r="S761" s="8"/>
      <c r="T761" s="8"/>
      <c r="U761" s="8"/>
      <c r="V761" s="8"/>
      <c r="W761" s="8"/>
      <c r="X761" s="8"/>
      <c r="Y761" s="8"/>
      <c r="Z761" s="8"/>
    </row>
    <row r="762">
      <c r="A762" s="8">
        <f>IFERROR(__xludf.DUMMYFUNCTION("""COMPUTED_VALUE"""),1172.0)</f>
        <v>1172</v>
      </c>
      <c r="B762" s="8" t="str">
        <f>IFERROR(__xludf.DUMMYFUNCTION("""COMPUTED_VALUE"""),"tree")</f>
        <v>tree</v>
      </c>
      <c r="C762" s="8" t="str">
        <f>IFERROR(__xludf.DUMMYFUNCTION("""COMPUTED_VALUE"""),"sucker")</f>
        <v>sucker</v>
      </c>
      <c r="D762" s="55" t="str">
        <f>IFERROR(__xludf.DUMMYFUNCTION("""COMPUTED_VALUE"""),"Salacca zalacca")</f>
        <v>Salacca zalacca</v>
      </c>
      <c r="E762" s="8" t="str">
        <f>IFERROR(__xludf.DUMMYFUNCTION("""COMPUTED_VALUE"""),"Bali")</f>
        <v>Bali</v>
      </c>
      <c r="F762" s="8" t="str">
        <f>IFERROR(__xludf.DUMMYFUNCTION("""COMPUTED_VALUE"""),"Snake Fruit (Salak)")</f>
        <v>Snake Fruit (Salak)</v>
      </c>
      <c r="G762" s="8" t="str">
        <f>IFERROR(__xludf.DUMMYFUNCTION("""COMPUTED_VALUE"""),"Fruit du serpent (Salak)")</f>
        <v>Fruit du serpent (Salak)</v>
      </c>
      <c r="H762" s="8" t="str">
        <f>IFERROR(__xludf.DUMMYFUNCTION("""COMPUTED_VALUE"""),"seed")</f>
        <v>seed</v>
      </c>
      <c r="I762" s="8"/>
      <c r="J762" s="8"/>
      <c r="K762" s="8"/>
      <c r="L762" s="8"/>
      <c r="M762" s="8">
        <f>IFERROR(__xludf.DUMMYFUNCTION("""COMPUTED_VALUE"""),0.0)</f>
        <v>0</v>
      </c>
      <c r="N762" s="8">
        <f>IFERROR(__xludf.DUMMYFUNCTION("""COMPUTED_VALUE"""),17.0)</f>
        <v>17</v>
      </c>
      <c r="O762" s="8"/>
      <c r="P762" s="8"/>
      <c r="Q762" s="8"/>
      <c r="R762" s="8"/>
      <c r="S762" s="8"/>
      <c r="T762" s="8"/>
      <c r="U762" s="8"/>
      <c r="V762" s="8"/>
      <c r="W762" s="8"/>
      <c r="X762" s="8"/>
      <c r="Y762" s="8"/>
      <c r="Z762" s="8"/>
    </row>
    <row r="763">
      <c r="A763" s="8">
        <f>IFERROR(__xludf.DUMMYFUNCTION("""COMPUTED_VALUE"""),1173.0)</f>
        <v>1173</v>
      </c>
      <c r="B763" s="8" t="str">
        <f>IFERROR(__xludf.DUMMYFUNCTION("""COMPUTED_VALUE"""),"tree")</f>
        <v>tree</v>
      </c>
      <c r="C763" s="8" t="str">
        <f>IFERROR(__xludf.DUMMYFUNCTION("""COMPUTED_VALUE"""),"sucker")</f>
        <v>sucker</v>
      </c>
      <c r="D763" s="55" t="str">
        <f>IFERROR(__xludf.DUMMYFUNCTION("""COMPUTED_VALUE"""),"Salacca zalacca")</f>
        <v>Salacca zalacca</v>
      </c>
      <c r="E763" s="8" t="str">
        <f>IFERROR(__xludf.DUMMYFUNCTION("""COMPUTED_VALUE"""),"Bali")</f>
        <v>Bali</v>
      </c>
      <c r="F763" s="8" t="str">
        <f>IFERROR(__xludf.DUMMYFUNCTION("""COMPUTED_VALUE"""),"Snake Fruit (Salak)")</f>
        <v>Snake Fruit (Salak)</v>
      </c>
      <c r="G763" s="8" t="str">
        <f>IFERROR(__xludf.DUMMYFUNCTION("""COMPUTED_VALUE"""),"Fruit du serpent (Salak)")</f>
        <v>Fruit du serpent (Salak)</v>
      </c>
      <c r="H763" s="8" t="str">
        <f>IFERROR(__xludf.DUMMYFUNCTION("""COMPUTED_VALUE"""),"seed")</f>
        <v>seed</v>
      </c>
      <c r="I763" s="8"/>
      <c r="J763" s="8"/>
      <c r="K763" s="8"/>
      <c r="L763" s="8"/>
      <c r="M763" s="8">
        <f>IFERROR(__xludf.DUMMYFUNCTION("""COMPUTED_VALUE"""),0.0)</f>
        <v>0</v>
      </c>
      <c r="N763" s="8">
        <f>IFERROR(__xludf.DUMMYFUNCTION("""COMPUTED_VALUE"""),17.0)</f>
        <v>17</v>
      </c>
      <c r="O763" s="8"/>
      <c r="P763" s="8"/>
      <c r="Q763" s="8"/>
      <c r="R763" s="8"/>
      <c r="S763" s="8"/>
      <c r="T763" s="8"/>
      <c r="U763" s="8"/>
      <c r="V763" s="8"/>
      <c r="W763" s="8"/>
      <c r="X763" s="8"/>
      <c r="Y763" s="8"/>
      <c r="Z763" s="8"/>
    </row>
    <row r="764">
      <c r="A764" s="8">
        <f>IFERROR(__xludf.DUMMYFUNCTION("""COMPUTED_VALUE"""),1174.0)</f>
        <v>1174</v>
      </c>
      <c r="B764" s="8" t="str">
        <f>IFERROR(__xludf.DUMMYFUNCTION("""COMPUTED_VALUE"""),"tree")</f>
        <v>tree</v>
      </c>
      <c r="C764" s="8" t="str">
        <f>IFERROR(__xludf.DUMMYFUNCTION("""COMPUTED_VALUE"""),"sucker")</f>
        <v>sucker</v>
      </c>
      <c r="D764" s="55" t="str">
        <f>IFERROR(__xludf.DUMMYFUNCTION("""COMPUTED_VALUE"""),"Salacca zalacca")</f>
        <v>Salacca zalacca</v>
      </c>
      <c r="E764" s="8" t="str">
        <f>IFERROR(__xludf.DUMMYFUNCTION("""COMPUTED_VALUE"""),"Bali")</f>
        <v>Bali</v>
      </c>
      <c r="F764" s="8" t="str">
        <f>IFERROR(__xludf.DUMMYFUNCTION("""COMPUTED_VALUE"""),"Snake Fruit (Salak)")</f>
        <v>Snake Fruit (Salak)</v>
      </c>
      <c r="G764" s="8" t="str">
        <f>IFERROR(__xludf.DUMMYFUNCTION("""COMPUTED_VALUE"""),"Fruit du serpent (Salak)")</f>
        <v>Fruit du serpent (Salak)</v>
      </c>
      <c r="H764" s="8" t="str">
        <f>IFERROR(__xludf.DUMMYFUNCTION("""COMPUTED_VALUE"""),"seed")</f>
        <v>seed</v>
      </c>
      <c r="I764" s="8"/>
      <c r="J764" s="8"/>
      <c r="K764" s="8"/>
      <c r="L764" s="8"/>
      <c r="M764" s="8">
        <f>IFERROR(__xludf.DUMMYFUNCTION("""COMPUTED_VALUE"""),0.0)</f>
        <v>0</v>
      </c>
      <c r="N764" s="8">
        <f>IFERROR(__xludf.DUMMYFUNCTION("""COMPUTED_VALUE"""),17.0)</f>
        <v>17</v>
      </c>
      <c r="O764" s="8"/>
      <c r="P764" s="8"/>
      <c r="Q764" s="8"/>
      <c r="R764" s="8"/>
      <c r="S764" s="8"/>
      <c r="T764" s="8"/>
      <c r="U764" s="8"/>
      <c r="V764" s="8"/>
      <c r="W764" s="8"/>
      <c r="X764" s="8"/>
      <c r="Y764" s="8"/>
      <c r="Z764" s="8"/>
    </row>
    <row r="765">
      <c r="A765" s="8">
        <f>IFERROR(__xludf.DUMMYFUNCTION("""COMPUTED_VALUE"""),1175.0)</f>
        <v>1175</v>
      </c>
      <c r="B765" s="8" t="str">
        <f>IFERROR(__xludf.DUMMYFUNCTION("""COMPUTED_VALUE"""),"tree")</f>
        <v>tree</v>
      </c>
      <c r="C765" s="8" t="str">
        <f>IFERROR(__xludf.DUMMYFUNCTION("""COMPUTED_VALUE"""),"sucker")</f>
        <v>sucker</v>
      </c>
      <c r="D765" s="55" t="str">
        <f>IFERROR(__xludf.DUMMYFUNCTION("""COMPUTED_VALUE"""),"Salacca zalacca")</f>
        <v>Salacca zalacca</v>
      </c>
      <c r="E765" s="8" t="str">
        <f>IFERROR(__xludf.DUMMYFUNCTION("""COMPUTED_VALUE"""),"Bali")</f>
        <v>Bali</v>
      </c>
      <c r="F765" s="8" t="str">
        <f>IFERROR(__xludf.DUMMYFUNCTION("""COMPUTED_VALUE"""),"Snake Fruit (Salak)")</f>
        <v>Snake Fruit (Salak)</v>
      </c>
      <c r="G765" s="8" t="str">
        <f>IFERROR(__xludf.DUMMYFUNCTION("""COMPUTED_VALUE"""),"Fruit du serpent (Salak)")</f>
        <v>Fruit du serpent (Salak)</v>
      </c>
      <c r="H765" s="8" t="str">
        <f>IFERROR(__xludf.DUMMYFUNCTION("""COMPUTED_VALUE"""),"seed")</f>
        <v>seed</v>
      </c>
      <c r="I765" s="8"/>
      <c r="J765" s="8"/>
      <c r="K765" s="8"/>
      <c r="L765" s="8"/>
      <c r="M765" s="8">
        <f>IFERROR(__xludf.DUMMYFUNCTION("""COMPUTED_VALUE"""),0.0)</f>
        <v>0</v>
      </c>
      <c r="N765" s="8">
        <f>IFERROR(__xludf.DUMMYFUNCTION("""COMPUTED_VALUE"""),17.0)</f>
        <v>17</v>
      </c>
      <c r="O765" s="8"/>
      <c r="P765" s="8"/>
      <c r="Q765" s="8"/>
      <c r="R765" s="8"/>
      <c r="S765" s="8"/>
      <c r="T765" s="8"/>
      <c r="U765" s="8"/>
      <c r="V765" s="8"/>
      <c r="W765" s="8"/>
      <c r="X765" s="8"/>
      <c r="Y765" s="8"/>
      <c r="Z765" s="8"/>
    </row>
    <row r="766">
      <c r="A766" s="8">
        <f>IFERROR(__xludf.DUMMYFUNCTION("""COMPUTED_VALUE"""),1176.0)</f>
        <v>1176</v>
      </c>
      <c r="B766" s="8" t="str">
        <f>IFERROR(__xludf.DUMMYFUNCTION("""COMPUTED_VALUE"""),"tree")</f>
        <v>tree</v>
      </c>
      <c r="C766" s="8" t="str">
        <f>IFERROR(__xludf.DUMMYFUNCTION("""COMPUTED_VALUE"""),"sucker")</f>
        <v>sucker</v>
      </c>
      <c r="D766" s="55" t="str">
        <f>IFERROR(__xludf.DUMMYFUNCTION("""COMPUTED_VALUE"""),"Salacca zalacca")</f>
        <v>Salacca zalacca</v>
      </c>
      <c r="E766" s="8" t="str">
        <f>IFERROR(__xludf.DUMMYFUNCTION("""COMPUTED_VALUE"""),"Bali")</f>
        <v>Bali</v>
      </c>
      <c r="F766" s="8" t="str">
        <f>IFERROR(__xludf.DUMMYFUNCTION("""COMPUTED_VALUE"""),"Snake Fruit (Salak)")</f>
        <v>Snake Fruit (Salak)</v>
      </c>
      <c r="G766" s="8" t="str">
        <f>IFERROR(__xludf.DUMMYFUNCTION("""COMPUTED_VALUE"""),"Fruit du serpent (Salak)")</f>
        <v>Fruit du serpent (Salak)</v>
      </c>
      <c r="H766" s="8" t="str">
        <f>IFERROR(__xludf.DUMMYFUNCTION("""COMPUTED_VALUE"""),"seed")</f>
        <v>seed</v>
      </c>
      <c r="I766" s="8"/>
      <c r="J766" s="8"/>
      <c r="K766" s="8"/>
      <c r="L766" s="8"/>
      <c r="M766" s="8">
        <f>IFERROR(__xludf.DUMMYFUNCTION("""COMPUTED_VALUE"""),0.0)</f>
        <v>0</v>
      </c>
      <c r="N766" s="8">
        <f>IFERROR(__xludf.DUMMYFUNCTION("""COMPUTED_VALUE"""),17.0)</f>
        <v>17</v>
      </c>
      <c r="O766" s="8"/>
      <c r="P766" s="8"/>
      <c r="Q766" s="8"/>
      <c r="R766" s="8"/>
      <c r="S766" s="8"/>
      <c r="T766" s="8"/>
      <c r="U766" s="8"/>
      <c r="V766" s="8"/>
      <c r="W766" s="8"/>
      <c r="X766" s="8"/>
      <c r="Y766" s="8"/>
      <c r="Z766" s="8"/>
    </row>
    <row r="767">
      <c r="A767" s="8">
        <f>IFERROR(__xludf.DUMMYFUNCTION("""COMPUTED_VALUE"""),1177.0)</f>
        <v>1177</v>
      </c>
      <c r="B767" s="8" t="str">
        <f>IFERROR(__xludf.DUMMYFUNCTION("""COMPUTED_VALUE"""),"tree")</f>
        <v>tree</v>
      </c>
      <c r="C767" s="8" t="str">
        <f>IFERROR(__xludf.DUMMYFUNCTION("""COMPUTED_VALUE"""),"sucker")</f>
        <v>sucker</v>
      </c>
      <c r="D767" s="55" t="str">
        <f>IFERROR(__xludf.DUMMYFUNCTION("""COMPUTED_VALUE"""),"Salacca zalacca")</f>
        <v>Salacca zalacca</v>
      </c>
      <c r="E767" s="8" t="str">
        <f>IFERROR(__xludf.DUMMYFUNCTION("""COMPUTED_VALUE"""),"Bali")</f>
        <v>Bali</v>
      </c>
      <c r="F767" s="8" t="str">
        <f>IFERROR(__xludf.DUMMYFUNCTION("""COMPUTED_VALUE"""),"Snake Fruit (Salak)")</f>
        <v>Snake Fruit (Salak)</v>
      </c>
      <c r="G767" s="8" t="str">
        <f>IFERROR(__xludf.DUMMYFUNCTION("""COMPUTED_VALUE"""),"Fruit du serpent (Salak)")</f>
        <v>Fruit du serpent (Salak)</v>
      </c>
      <c r="H767" s="8" t="str">
        <f>IFERROR(__xludf.DUMMYFUNCTION("""COMPUTED_VALUE"""),"seed")</f>
        <v>seed</v>
      </c>
      <c r="I767" s="8"/>
      <c r="J767" s="8"/>
      <c r="K767" s="8"/>
      <c r="L767" s="8"/>
      <c r="M767" s="8">
        <f>IFERROR(__xludf.DUMMYFUNCTION("""COMPUTED_VALUE"""),0.0)</f>
        <v>0</v>
      </c>
      <c r="N767" s="8">
        <f>IFERROR(__xludf.DUMMYFUNCTION("""COMPUTED_VALUE"""),17.0)</f>
        <v>17</v>
      </c>
      <c r="O767" s="8"/>
      <c r="P767" s="8"/>
      <c r="Q767" s="8"/>
      <c r="R767" s="8"/>
      <c r="S767" s="8"/>
      <c r="T767" s="8"/>
      <c r="U767" s="8"/>
      <c r="V767" s="8"/>
      <c r="W767" s="8"/>
      <c r="X767" s="8"/>
      <c r="Y767" s="8"/>
      <c r="Z767" s="8"/>
    </row>
    <row r="768">
      <c r="A768" s="8">
        <f>IFERROR(__xludf.DUMMYFUNCTION("""COMPUTED_VALUE"""),1178.0)</f>
        <v>1178</v>
      </c>
      <c r="B768" s="8" t="str">
        <f>IFERROR(__xludf.DUMMYFUNCTION("""COMPUTED_VALUE"""),"tree")</f>
        <v>tree</v>
      </c>
      <c r="C768" s="8" t="str">
        <f>IFERROR(__xludf.DUMMYFUNCTION("""COMPUTED_VALUE"""),"sucker")</f>
        <v>sucker</v>
      </c>
      <c r="D768" s="55" t="str">
        <f>IFERROR(__xludf.DUMMYFUNCTION("""COMPUTED_VALUE"""),"Salacca zalacca")</f>
        <v>Salacca zalacca</v>
      </c>
      <c r="E768" s="8" t="str">
        <f>IFERROR(__xludf.DUMMYFUNCTION("""COMPUTED_VALUE"""),"Bali")</f>
        <v>Bali</v>
      </c>
      <c r="F768" s="8" t="str">
        <f>IFERROR(__xludf.DUMMYFUNCTION("""COMPUTED_VALUE"""),"Snake Fruit (Salak)")</f>
        <v>Snake Fruit (Salak)</v>
      </c>
      <c r="G768" s="8" t="str">
        <f>IFERROR(__xludf.DUMMYFUNCTION("""COMPUTED_VALUE"""),"Fruit du serpent (Salak)")</f>
        <v>Fruit du serpent (Salak)</v>
      </c>
      <c r="H768" s="8" t="str">
        <f>IFERROR(__xludf.DUMMYFUNCTION("""COMPUTED_VALUE"""),"seed")</f>
        <v>seed</v>
      </c>
      <c r="I768" s="8"/>
      <c r="J768" s="8"/>
      <c r="K768" s="8"/>
      <c r="L768" s="8"/>
      <c r="M768" s="8">
        <f>IFERROR(__xludf.DUMMYFUNCTION("""COMPUTED_VALUE"""),0.0)</f>
        <v>0</v>
      </c>
      <c r="N768" s="8">
        <f>IFERROR(__xludf.DUMMYFUNCTION("""COMPUTED_VALUE"""),17.0)</f>
        <v>17</v>
      </c>
      <c r="O768" s="8"/>
      <c r="P768" s="8"/>
      <c r="Q768" s="8"/>
      <c r="R768" s="8"/>
      <c r="S768" s="8"/>
      <c r="T768" s="8"/>
      <c r="U768" s="8"/>
      <c r="V768" s="8"/>
      <c r="W768" s="8"/>
      <c r="X768" s="8"/>
      <c r="Y768" s="8"/>
      <c r="Z768" s="8"/>
    </row>
    <row r="769">
      <c r="A769" s="8">
        <f>IFERROR(__xludf.DUMMYFUNCTION("""COMPUTED_VALUE"""),1179.0)</f>
        <v>1179</v>
      </c>
      <c r="B769" s="8" t="str">
        <f>IFERROR(__xludf.DUMMYFUNCTION("""COMPUTED_VALUE"""),"tree")</f>
        <v>tree</v>
      </c>
      <c r="C769" s="8" t="str">
        <f>IFERROR(__xludf.DUMMYFUNCTION("""COMPUTED_VALUE"""),"sucker")</f>
        <v>sucker</v>
      </c>
      <c r="D769" s="55" t="str">
        <f>IFERROR(__xludf.DUMMYFUNCTION("""COMPUTED_VALUE"""),"Salacca zalacca")</f>
        <v>Salacca zalacca</v>
      </c>
      <c r="E769" s="8" t="str">
        <f>IFERROR(__xludf.DUMMYFUNCTION("""COMPUTED_VALUE"""),"Bali")</f>
        <v>Bali</v>
      </c>
      <c r="F769" s="8" t="str">
        <f>IFERROR(__xludf.DUMMYFUNCTION("""COMPUTED_VALUE"""),"Snake Fruit (Salak)")</f>
        <v>Snake Fruit (Salak)</v>
      </c>
      <c r="G769" s="8" t="str">
        <f>IFERROR(__xludf.DUMMYFUNCTION("""COMPUTED_VALUE"""),"Fruit du serpent (Salak)")</f>
        <v>Fruit du serpent (Salak)</v>
      </c>
      <c r="H769" s="8" t="str">
        <f>IFERROR(__xludf.DUMMYFUNCTION("""COMPUTED_VALUE"""),"seed")</f>
        <v>seed</v>
      </c>
      <c r="I769" s="8"/>
      <c r="J769" s="8"/>
      <c r="K769" s="8"/>
      <c r="L769" s="8"/>
      <c r="M769" s="8">
        <f>IFERROR(__xludf.DUMMYFUNCTION("""COMPUTED_VALUE"""),0.0)</f>
        <v>0</v>
      </c>
      <c r="N769" s="8">
        <f>IFERROR(__xludf.DUMMYFUNCTION("""COMPUTED_VALUE"""),17.0)</f>
        <v>17</v>
      </c>
      <c r="O769" s="8"/>
      <c r="P769" s="8"/>
      <c r="Q769" s="8"/>
      <c r="R769" s="8"/>
      <c r="S769" s="8"/>
      <c r="T769" s="8"/>
      <c r="U769" s="8"/>
      <c r="V769" s="8"/>
      <c r="W769" s="8"/>
      <c r="X769" s="8"/>
      <c r="Y769" s="8"/>
      <c r="Z769" s="8"/>
    </row>
    <row r="770">
      <c r="A770" s="8">
        <f>IFERROR(__xludf.DUMMYFUNCTION("""COMPUTED_VALUE"""),1180.0)</f>
        <v>1180</v>
      </c>
      <c r="B770" s="8" t="str">
        <f>IFERROR(__xludf.DUMMYFUNCTION("""COMPUTED_VALUE"""),"tree")</f>
        <v>tree</v>
      </c>
      <c r="C770" s="8" t="str">
        <f>IFERROR(__xludf.DUMMYFUNCTION("""COMPUTED_VALUE"""),"sucker")</f>
        <v>sucker</v>
      </c>
      <c r="D770" s="55" t="str">
        <f>IFERROR(__xludf.DUMMYFUNCTION("""COMPUTED_VALUE"""),"Salacca zalacca")</f>
        <v>Salacca zalacca</v>
      </c>
      <c r="E770" s="8" t="str">
        <f>IFERROR(__xludf.DUMMYFUNCTION("""COMPUTED_VALUE"""),"Bali")</f>
        <v>Bali</v>
      </c>
      <c r="F770" s="8" t="str">
        <f>IFERROR(__xludf.DUMMYFUNCTION("""COMPUTED_VALUE"""),"Snake Fruit (Salak)")</f>
        <v>Snake Fruit (Salak)</v>
      </c>
      <c r="G770" s="8" t="str">
        <f>IFERROR(__xludf.DUMMYFUNCTION("""COMPUTED_VALUE"""),"Fruit du serpent (Salak)")</f>
        <v>Fruit du serpent (Salak)</v>
      </c>
      <c r="H770" s="8" t="str">
        <f>IFERROR(__xludf.DUMMYFUNCTION("""COMPUTED_VALUE"""),"seed")</f>
        <v>seed</v>
      </c>
      <c r="I770" s="8"/>
      <c r="J770" s="8"/>
      <c r="K770" s="8"/>
      <c r="L770" s="8"/>
      <c r="M770" s="8">
        <f>IFERROR(__xludf.DUMMYFUNCTION("""COMPUTED_VALUE"""),0.0)</f>
        <v>0</v>
      </c>
      <c r="N770" s="8">
        <f>IFERROR(__xludf.DUMMYFUNCTION("""COMPUTED_VALUE"""),17.0)</f>
        <v>17</v>
      </c>
      <c r="O770" s="8"/>
      <c r="P770" s="8"/>
      <c r="Q770" s="8"/>
      <c r="R770" s="8"/>
      <c r="S770" s="8"/>
      <c r="T770" s="8"/>
      <c r="U770" s="8"/>
      <c r="V770" s="8"/>
      <c r="W770" s="8"/>
      <c r="X770" s="8"/>
      <c r="Y770" s="8"/>
      <c r="Z770" s="8"/>
    </row>
    <row r="771">
      <c r="A771" s="8">
        <f>IFERROR(__xludf.DUMMYFUNCTION("""COMPUTED_VALUE"""),1181.0)</f>
        <v>1181</v>
      </c>
      <c r="B771" s="8" t="str">
        <f>IFERROR(__xludf.DUMMYFUNCTION("""COMPUTED_VALUE"""),"tree")</f>
        <v>tree</v>
      </c>
      <c r="C771" s="8" t="str">
        <f>IFERROR(__xludf.DUMMYFUNCTION("""COMPUTED_VALUE"""),"sucker")</f>
        <v>sucker</v>
      </c>
      <c r="D771" s="55" t="str">
        <f>IFERROR(__xludf.DUMMYFUNCTION("""COMPUTED_VALUE"""),"Salacca zalacca")</f>
        <v>Salacca zalacca</v>
      </c>
      <c r="E771" s="8" t="str">
        <f>IFERROR(__xludf.DUMMYFUNCTION("""COMPUTED_VALUE"""),"Bali")</f>
        <v>Bali</v>
      </c>
      <c r="F771" s="8" t="str">
        <f>IFERROR(__xludf.DUMMYFUNCTION("""COMPUTED_VALUE"""),"Snake Fruit (Salak)")</f>
        <v>Snake Fruit (Salak)</v>
      </c>
      <c r="G771" s="8" t="str">
        <f>IFERROR(__xludf.DUMMYFUNCTION("""COMPUTED_VALUE"""),"Fruit du serpent (Salak)")</f>
        <v>Fruit du serpent (Salak)</v>
      </c>
      <c r="H771" s="8" t="str">
        <f>IFERROR(__xludf.DUMMYFUNCTION("""COMPUTED_VALUE"""),"seed")</f>
        <v>seed</v>
      </c>
      <c r="I771" s="8"/>
      <c r="J771" s="8"/>
      <c r="K771" s="8"/>
      <c r="L771" s="8"/>
      <c r="M771" s="8">
        <f>IFERROR(__xludf.DUMMYFUNCTION("""COMPUTED_VALUE"""),0.0)</f>
        <v>0</v>
      </c>
      <c r="N771" s="8">
        <f>IFERROR(__xludf.DUMMYFUNCTION("""COMPUTED_VALUE"""),17.0)</f>
        <v>17</v>
      </c>
      <c r="O771" s="8"/>
      <c r="P771" s="8"/>
      <c r="Q771" s="8"/>
      <c r="R771" s="8"/>
      <c r="S771" s="8"/>
      <c r="T771" s="8"/>
      <c r="U771" s="8"/>
      <c r="V771" s="8"/>
      <c r="W771" s="8"/>
      <c r="X771" s="8"/>
      <c r="Y771" s="8"/>
      <c r="Z771" s="8"/>
    </row>
    <row r="772">
      <c r="A772" s="8">
        <f>IFERROR(__xludf.DUMMYFUNCTION("""COMPUTED_VALUE"""),1182.0)</f>
        <v>1182</v>
      </c>
      <c r="B772" s="8" t="str">
        <f>IFERROR(__xludf.DUMMYFUNCTION("""COMPUTED_VALUE"""),"tree")</f>
        <v>tree</v>
      </c>
      <c r="C772" s="8" t="str">
        <f>IFERROR(__xludf.DUMMYFUNCTION("""COMPUTED_VALUE"""),"graft")</f>
        <v>graft</v>
      </c>
      <c r="D772" s="55" t="str">
        <f>IFERROR(__xludf.DUMMYFUNCTION("""COMPUTED_VALUE"""),"Manilkara zapota")</f>
        <v>Manilkara zapota</v>
      </c>
      <c r="E772" s="8" t="str">
        <f>IFERROR(__xludf.DUMMYFUNCTION("""COMPUTED_VALUE"""),"Cucumber")</f>
        <v>Cucumber</v>
      </c>
      <c r="F772" s="8" t="str">
        <f>IFERROR(__xludf.DUMMYFUNCTION("""COMPUTED_VALUE"""),"Sapodilla")</f>
        <v>Sapodilla</v>
      </c>
      <c r="G772" s="8" t="str">
        <f>IFERROR(__xludf.DUMMYFUNCTION("""COMPUTED_VALUE"""),"Sapotille")</f>
        <v>Sapotille</v>
      </c>
      <c r="H772" s="8" t="str">
        <f>IFERROR(__xludf.DUMMYFUNCTION("""COMPUTED_VALUE"""),"seed")</f>
        <v>seed</v>
      </c>
      <c r="I772" s="8"/>
      <c r="J772" s="8"/>
      <c r="K772" s="8"/>
      <c r="L772" s="8" t="str">
        <f>IFERROR(__xludf.DUMMYFUNCTION("""COMPUTED_VALUE"""),"multiple")</f>
        <v>multiple</v>
      </c>
      <c r="M772" s="8">
        <f>IFERROR(__xludf.DUMMYFUNCTION("""COMPUTED_VALUE"""),0.0)</f>
        <v>0</v>
      </c>
      <c r="N772" s="8">
        <f>IFERROR(__xludf.DUMMYFUNCTION("""COMPUTED_VALUE"""),18.0)</f>
        <v>18</v>
      </c>
      <c r="O772" s="8"/>
      <c r="P772" s="8"/>
      <c r="Q772" s="8"/>
      <c r="R772" s="8"/>
      <c r="S772" s="8"/>
      <c r="T772" s="8"/>
      <c r="U772" s="8"/>
      <c r="V772" s="8"/>
      <c r="W772" s="8"/>
      <c r="X772" s="8"/>
      <c r="Y772" s="8"/>
      <c r="Z772" s="8"/>
    </row>
    <row r="773">
      <c r="A773" s="8">
        <f>IFERROR(__xludf.DUMMYFUNCTION("""COMPUTED_VALUE"""),1183.0)</f>
        <v>1183</v>
      </c>
      <c r="B773" s="8" t="str">
        <f>IFERROR(__xludf.DUMMYFUNCTION("""COMPUTED_VALUE"""),"tree")</f>
        <v>tree</v>
      </c>
      <c r="C773" s="8" t="str">
        <f>IFERROR(__xludf.DUMMYFUNCTION("""COMPUTED_VALUE"""),"graft")</f>
        <v>graft</v>
      </c>
      <c r="D773" s="55" t="str">
        <f>IFERROR(__xludf.DUMMYFUNCTION("""COMPUTED_VALUE"""),"Manilkara zapota")</f>
        <v>Manilkara zapota</v>
      </c>
      <c r="E773" s="8" t="str">
        <f>IFERROR(__xludf.DUMMYFUNCTION("""COMPUTED_VALUE"""),"Cucumber")</f>
        <v>Cucumber</v>
      </c>
      <c r="F773" s="8" t="str">
        <f>IFERROR(__xludf.DUMMYFUNCTION("""COMPUTED_VALUE"""),"Sapodilla")</f>
        <v>Sapodilla</v>
      </c>
      <c r="G773" s="8" t="str">
        <f>IFERROR(__xludf.DUMMYFUNCTION("""COMPUTED_VALUE"""),"Sapotille")</f>
        <v>Sapotille</v>
      </c>
      <c r="H773" s="8" t="str">
        <f>IFERROR(__xludf.DUMMYFUNCTION("""COMPUTED_VALUE"""),"seed")</f>
        <v>seed</v>
      </c>
      <c r="I773" s="8"/>
      <c r="J773" s="8"/>
      <c r="K773" s="8"/>
      <c r="L773" s="8" t="str">
        <f>IFERROR(__xludf.DUMMYFUNCTION("""COMPUTED_VALUE"""),"multiple")</f>
        <v>multiple</v>
      </c>
      <c r="M773" s="8">
        <f>IFERROR(__xludf.DUMMYFUNCTION("""COMPUTED_VALUE"""),0.0)</f>
        <v>0</v>
      </c>
      <c r="N773" s="8">
        <f>IFERROR(__xludf.DUMMYFUNCTION("""COMPUTED_VALUE"""),18.0)</f>
        <v>18</v>
      </c>
      <c r="O773" s="8"/>
      <c r="P773" s="8"/>
      <c r="Q773" s="8"/>
      <c r="R773" s="8"/>
      <c r="S773" s="8"/>
      <c r="T773" s="8"/>
      <c r="U773" s="8"/>
      <c r="V773" s="8"/>
      <c r="W773" s="8"/>
      <c r="X773" s="8"/>
      <c r="Y773" s="8"/>
      <c r="Z773" s="8"/>
    </row>
    <row r="774">
      <c r="A774" s="8">
        <f>IFERROR(__xludf.DUMMYFUNCTION("""COMPUTED_VALUE"""),1184.0)</f>
        <v>1184</v>
      </c>
      <c r="B774" s="8" t="str">
        <f>IFERROR(__xludf.DUMMYFUNCTION("""COMPUTED_VALUE"""),"tree")</f>
        <v>tree</v>
      </c>
      <c r="C774" s="8" t="str">
        <f>IFERROR(__xludf.DUMMYFUNCTION("""COMPUTED_VALUE"""),"graft")</f>
        <v>graft</v>
      </c>
      <c r="D774" s="55" t="str">
        <f>IFERROR(__xludf.DUMMYFUNCTION("""COMPUTED_VALUE"""),"Manilkara zapota")</f>
        <v>Manilkara zapota</v>
      </c>
      <c r="E774" s="8" t="str">
        <f>IFERROR(__xludf.DUMMYFUNCTION("""COMPUTED_VALUE"""),"Cucumber")</f>
        <v>Cucumber</v>
      </c>
      <c r="F774" s="8" t="str">
        <f>IFERROR(__xludf.DUMMYFUNCTION("""COMPUTED_VALUE"""),"Sapodilla")</f>
        <v>Sapodilla</v>
      </c>
      <c r="G774" s="8" t="str">
        <f>IFERROR(__xludf.DUMMYFUNCTION("""COMPUTED_VALUE"""),"Sapotille")</f>
        <v>Sapotille</v>
      </c>
      <c r="H774" s="8" t="str">
        <f>IFERROR(__xludf.DUMMYFUNCTION("""COMPUTED_VALUE"""),"seed")</f>
        <v>seed</v>
      </c>
      <c r="I774" s="8"/>
      <c r="J774" s="8"/>
      <c r="K774" s="8"/>
      <c r="L774" s="8" t="str">
        <f>IFERROR(__xludf.DUMMYFUNCTION("""COMPUTED_VALUE"""),"multiple")</f>
        <v>multiple</v>
      </c>
      <c r="M774" s="8">
        <f>IFERROR(__xludf.DUMMYFUNCTION("""COMPUTED_VALUE"""),0.0)</f>
        <v>0</v>
      </c>
      <c r="N774" s="8">
        <f>IFERROR(__xludf.DUMMYFUNCTION("""COMPUTED_VALUE"""),18.0)</f>
        <v>18</v>
      </c>
      <c r="O774" s="8"/>
      <c r="P774" s="8"/>
      <c r="Q774" s="8"/>
      <c r="R774" s="8"/>
      <c r="S774" s="8"/>
      <c r="T774" s="8"/>
      <c r="U774" s="8"/>
      <c r="V774" s="8"/>
      <c r="W774" s="8"/>
      <c r="X774" s="8"/>
      <c r="Y774" s="8"/>
      <c r="Z774" s="8"/>
    </row>
    <row r="775">
      <c r="A775" s="8">
        <f>IFERROR(__xludf.DUMMYFUNCTION("""COMPUTED_VALUE"""),1185.0)</f>
        <v>1185</v>
      </c>
      <c r="B775" s="8" t="str">
        <f>IFERROR(__xludf.DUMMYFUNCTION("""COMPUTED_VALUE"""),"tree")</f>
        <v>tree</v>
      </c>
      <c r="C775" s="8" t="str">
        <f>IFERROR(__xludf.DUMMYFUNCTION("""COMPUTED_VALUE"""),"graft")</f>
        <v>graft</v>
      </c>
      <c r="D775" s="55" t="str">
        <f>IFERROR(__xludf.DUMMYFUNCTION("""COMPUTED_VALUE"""),"Manilkara zapota")</f>
        <v>Manilkara zapota</v>
      </c>
      <c r="E775" s="8" t="str">
        <f>IFERROR(__xludf.DUMMYFUNCTION("""COMPUTED_VALUE"""),"Cucumber")</f>
        <v>Cucumber</v>
      </c>
      <c r="F775" s="8" t="str">
        <f>IFERROR(__xludf.DUMMYFUNCTION("""COMPUTED_VALUE"""),"Sapodilla")</f>
        <v>Sapodilla</v>
      </c>
      <c r="G775" s="8" t="str">
        <f>IFERROR(__xludf.DUMMYFUNCTION("""COMPUTED_VALUE"""),"Sapotille")</f>
        <v>Sapotille</v>
      </c>
      <c r="H775" s="8" t="str">
        <f>IFERROR(__xludf.DUMMYFUNCTION("""COMPUTED_VALUE"""),"seed")</f>
        <v>seed</v>
      </c>
      <c r="I775" s="8"/>
      <c r="J775" s="8"/>
      <c r="K775" s="8"/>
      <c r="L775" s="8" t="str">
        <f>IFERROR(__xludf.DUMMYFUNCTION("""COMPUTED_VALUE"""),"multiple")</f>
        <v>multiple</v>
      </c>
      <c r="M775" s="8">
        <f>IFERROR(__xludf.DUMMYFUNCTION("""COMPUTED_VALUE"""),0.0)</f>
        <v>0</v>
      </c>
      <c r="N775" s="8">
        <f>IFERROR(__xludf.DUMMYFUNCTION("""COMPUTED_VALUE"""),18.0)</f>
        <v>18</v>
      </c>
      <c r="O775" s="8"/>
      <c r="P775" s="8"/>
      <c r="Q775" s="8"/>
      <c r="R775" s="8"/>
      <c r="S775" s="8"/>
      <c r="T775" s="8"/>
      <c r="U775" s="8"/>
      <c r="V775" s="8"/>
      <c r="W775" s="8"/>
      <c r="X775" s="8"/>
      <c r="Y775" s="8"/>
      <c r="Z775" s="8"/>
    </row>
    <row r="776">
      <c r="A776" s="8">
        <f>IFERROR(__xludf.DUMMYFUNCTION("""COMPUTED_VALUE"""),1186.0)</f>
        <v>1186</v>
      </c>
      <c r="B776" s="8" t="str">
        <f>IFERROR(__xludf.DUMMYFUNCTION("""COMPUTED_VALUE"""),"tree")</f>
        <v>tree</v>
      </c>
      <c r="C776" s="8" t="str">
        <f>IFERROR(__xludf.DUMMYFUNCTION("""COMPUTED_VALUE"""),"graft")</f>
        <v>graft</v>
      </c>
      <c r="D776" s="55" t="str">
        <f>IFERROR(__xludf.DUMMYFUNCTION("""COMPUTED_VALUE"""),"Manilkara zapota")</f>
        <v>Manilkara zapota</v>
      </c>
      <c r="E776" s="8" t="str">
        <f>IFERROR(__xludf.DUMMYFUNCTION("""COMPUTED_VALUE"""),"Cucumber")</f>
        <v>Cucumber</v>
      </c>
      <c r="F776" s="8" t="str">
        <f>IFERROR(__xludf.DUMMYFUNCTION("""COMPUTED_VALUE"""),"Sapodilla")</f>
        <v>Sapodilla</v>
      </c>
      <c r="G776" s="8" t="str">
        <f>IFERROR(__xludf.DUMMYFUNCTION("""COMPUTED_VALUE"""),"Sapotille")</f>
        <v>Sapotille</v>
      </c>
      <c r="H776" s="8" t="str">
        <f>IFERROR(__xludf.DUMMYFUNCTION("""COMPUTED_VALUE"""),"seed")</f>
        <v>seed</v>
      </c>
      <c r="I776" s="8"/>
      <c r="J776" s="8"/>
      <c r="K776" s="8"/>
      <c r="L776" s="8" t="str">
        <f>IFERROR(__xludf.DUMMYFUNCTION("""COMPUTED_VALUE"""),"multiple")</f>
        <v>multiple</v>
      </c>
      <c r="M776" s="8">
        <f>IFERROR(__xludf.DUMMYFUNCTION("""COMPUTED_VALUE"""),0.0)</f>
        <v>0</v>
      </c>
      <c r="N776" s="8">
        <f>IFERROR(__xludf.DUMMYFUNCTION("""COMPUTED_VALUE"""),18.0)</f>
        <v>18</v>
      </c>
      <c r="O776" s="8"/>
      <c r="P776" s="8"/>
      <c r="Q776" s="8"/>
      <c r="R776" s="8"/>
      <c r="S776" s="8"/>
      <c r="T776" s="8"/>
      <c r="U776" s="8"/>
      <c r="V776" s="8"/>
      <c r="W776" s="8"/>
      <c r="X776" s="8"/>
      <c r="Y776" s="8"/>
      <c r="Z776" s="8"/>
    </row>
    <row r="777">
      <c r="A777" s="8">
        <f>IFERROR(__xludf.DUMMYFUNCTION("""COMPUTED_VALUE"""),1187.0)</f>
        <v>1187</v>
      </c>
      <c r="B777" s="8" t="str">
        <f>IFERROR(__xludf.DUMMYFUNCTION("""COMPUTED_VALUE"""),"tree")</f>
        <v>tree</v>
      </c>
      <c r="C777" s="8" t="str">
        <f>IFERROR(__xludf.DUMMYFUNCTION("""COMPUTED_VALUE"""),"graft")</f>
        <v>graft</v>
      </c>
      <c r="D777" s="55" t="str">
        <f>IFERROR(__xludf.DUMMYFUNCTION("""COMPUTED_VALUE"""),"Manilkara zapota")</f>
        <v>Manilkara zapota</v>
      </c>
      <c r="E777" s="8" t="str">
        <f>IFERROR(__xludf.DUMMYFUNCTION("""COMPUTED_VALUE"""),"Cucumber")</f>
        <v>Cucumber</v>
      </c>
      <c r="F777" s="8" t="str">
        <f>IFERROR(__xludf.DUMMYFUNCTION("""COMPUTED_VALUE"""),"Sapodilla")</f>
        <v>Sapodilla</v>
      </c>
      <c r="G777" s="8" t="str">
        <f>IFERROR(__xludf.DUMMYFUNCTION("""COMPUTED_VALUE"""),"Sapotille")</f>
        <v>Sapotille</v>
      </c>
      <c r="H777" s="8" t="str">
        <f>IFERROR(__xludf.DUMMYFUNCTION("""COMPUTED_VALUE"""),"seed")</f>
        <v>seed</v>
      </c>
      <c r="I777" s="8"/>
      <c r="J777" s="8"/>
      <c r="K777" s="8"/>
      <c r="L777" s="8" t="str">
        <f>IFERROR(__xludf.DUMMYFUNCTION("""COMPUTED_VALUE"""),"multiple")</f>
        <v>multiple</v>
      </c>
      <c r="M777" s="8">
        <f>IFERROR(__xludf.DUMMYFUNCTION("""COMPUTED_VALUE"""),0.0)</f>
        <v>0</v>
      </c>
      <c r="N777" s="8">
        <f>IFERROR(__xludf.DUMMYFUNCTION("""COMPUTED_VALUE"""),18.0)</f>
        <v>18</v>
      </c>
      <c r="O777" s="8"/>
      <c r="P777" s="8"/>
      <c r="Q777" s="8"/>
      <c r="R777" s="8"/>
      <c r="S777" s="8"/>
      <c r="T777" s="8"/>
      <c r="U777" s="8"/>
      <c r="V777" s="8"/>
      <c r="W777" s="8"/>
      <c r="X777" s="8"/>
      <c r="Y777" s="8"/>
      <c r="Z777" s="8"/>
    </row>
    <row r="778">
      <c r="A778" s="8">
        <f>IFERROR(__xludf.DUMMYFUNCTION("""COMPUTED_VALUE"""),1188.0)</f>
        <v>1188</v>
      </c>
      <c r="B778" s="8" t="str">
        <f>IFERROR(__xludf.DUMMYFUNCTION("""COMPUTED_VALUE"""),"tree")</f>
        <v>tree</v>
      </c>
      <c r="C778" s="8" t="str">
        <f>IFERROR(__xludf.DUMMYFUNCTION("""COMPUTED_VALUE"""),"graft")</f>
        <v>graft</v>
      </c>
      <c r="D778" s="55" t="str">
        <f>IFERROR(__xludf.DUMMYFUNCTION("""COMPUTED_VALUE"""),"Manilkara zapota")</f>
        <v>Manilkara zapota</v>
      </c>
      <c r="E778" s="8" t="str">
        <f>IFERROR(__xludf.DUMMYFUNCTION("""COMPUTED_VALUE"""),"Cucumber")</f>
        <v>Cucumber</v>
      </c>
      <c r="F778" s="8" t="str">
        <f>IFERROR(__xludf.DUMMYFUNCTION("""COMPUTED_VALUE"""),"Sapodilla")</f>
        <v>Sapodilla</v>
      </c>
      <c r="G778" s="8" t="str">
        <f>IFERROR(__xludf.DUMMYFUNCTION("""COMPUTED_VALUE"""),"Sapotille")</f>
        <v>Sapotille</v>
      </c>
      <c r="H778" s="8" t="str">
        <f>IFERROR(__xludf.DUMMYFUNCTION("""COMPUTED_VALUE"""),"seed")</f>
        <v>seed</v>
      </c>
      <c r="I778" s="8"/>
      <c r="J778" s="8"/>
      <c r="K778" s="8"/>
      <c r="L778" s="8" t="str">
        <f>IFERROR(__xludf.DUMMYFUNCTION("""COMPUTED_VALUE"""),"multiple")</f>
        <v>multiple</v>
      </c>
      <c r="M778" s="8">
        <f>IFERROR(__xludf.DUMMYFUNCTION("""COMPUTED_VALUE"""),0.0)</f>
        <v>0</v>
      </c>
      <c r="N778" s="8">
        <f>IFERROR(__xludf.DUMMYFUNCTION("""COMPUTED_VALUE"""),18.0)</f>
        <v>18</v>
      </c>
      <c r="O778" s="8"/>
      <c r="P778" s="8"/>
      <c r="Q778" s="8"/>
      <c r="R778" s="8"/>
      <c r="S778" s="8"/>
      <c r="T778" s="8"/>
      <c r="U778" s="8"/>
      <c r="V778" s="8"/>
      <c r="W778" s="8"/>
      <c r="X778" s="8"/>
      <c r="Y778" s="8"/>
      <c r="Z778" s="8"/>
    </row>
    <row r="779">
      <c r="A779" s="8">
        <f>IFERROR(__xludf.DUMMYFUNCTION("""COMPUTED_VALUE"""),1189.0)</f>
        <v>1189</v>
      </c>
      <c r="B779" s="8" t="str">
        <f>IFERROR(__xludf.DUMMYFUNCTION("""COMPUTED_VALUE"""),"tree")</f>
        <v>tree</v>
      </c>
      <c r="C779" s="8" t="str">
        <f>IFERROR(__xludf.DUMMYFUNCTION("""COMPUTED_VALUE"""),"graft")</f>
        <v>graft</v>
      </c>
      <c r="D779" s="55" t="str">
        <f>IFERROR(__xludf.DUMMYFUNCTION("""COMPUTED_VALUE"""),"Manilkara zapota")</f>
        <v>Manilkara zapota</v>
      </c>
      <c r="E779" s="8" t="str">
        <f>IFERROR(__xludf.DUMMYFUNCTION("""COMPUTED_VALUE"""),"Cucumber")</f>
        <v>Cucumber</v>
      </c>
      <c r="F779" s="8" t="str">
        <f>IFERROR(__xludf.DUMMYFUNCTION("""COMPUTED_VALUE"""),"Sapodilla")</f>
        <v>Sapodilla</v>
      </c>
      <c r="G779" s="8" t="str">
        <f>IFERROR(__xludf.DUMMYFUNCTION("""COMPUTED_VALUE"""),"Sapotille")</f>
        <v>Sapotille</v>
      </c>
      <c r="H779" s="8" t="str">
        <f>IFERROR(__xludf.DUMMYFUNCTION("""COMPUTED_VALUE"""),"seed")</f>
        <v>seed</v>
      </c>
      <c r="I779" s="8"/>
      <c r="J779" s="8"/>
      <c r="K779" s="8"/>
      <c r="L779" s="8" t="str">
        <f>IFERROR(__xludf.DUMMYFUNCTION("""COMPUTED_VALUE"""),"multiple")</f>
        <v>multiple</v>
      </c>
      <c r="M779" s="8">
        <f>IFERROR(__xludf.DUMMYFUNCTION("""COMPUTED_VALUE"""),0.0)</f>
        <v>0</v>
      </c>
      <c r="N779" s="8">
        <f>IFERROR(__xludf.DUMMYFUNCTION("""COMPUTED_VALUE"""),18.0)</f>
        <v>18</v>
      </c>
      <c r="O779" s="8"/>
      <c r="P779" s="8"/>
      <c r="Q779" s="8"/>
      <c r="R779" s="8"/>
      <c r="S779" s="8"/>
      <c r="T779" s="8"/>
      <c r="U779" s="8"/>
      <c r="V779" s="8"/>
      <c r="W779" s="8"/>
      <c r="X779" s="8"/>
      <c r="Y779" s="8"/>
      <c r="Z779" s="8"/>
    </row>
    <row r="780">
      <c r="A780" s="8">
        <f>IFERROR(__xludf.DUMMYFUNCTION("""COMPUTED_VALUE"""),1190.0)</f>
        <v>1190</v>
      </c>
      <c r="B780" s="8" t="str">
        <f>IFERROR(__xludf.DUMMYFUNCTION("""COMPUTED_VALUE"""),"tree")</f>
        <v>tree</v>
      </c>
      <c r="C780" s="8" t="str">
        <f>IFERROR(__xludf.DUMMYFUNCTION("""COMPUTED_VALUE"""),"graft")</f>
        <v>graft</v>
      </c>
      <c r="D780" s="55" t="str">
        <f>IFERROR(__xludf.DUMMYFUNCTION("""COMPUTED_VALUE"""),"Manilkara zapota")</f>
        <v>Manilkara zapota</v>
      </c>
      <c r="E780" s="8" t="str">
        <f>IFERROR(__xludf.DUMMYFUNCTION("""COMPUTED_VALUE"""),"Cucumber")</f>
        <v>Cucumber</v>
      </c>
      <c r="F780" s="8" t="str">
        <f>IFERROR(__xludf.DUMMYFUNCTION("""COMPUTED_VALUE"""),"Sapodilla")</f>
        <v>Sapodilla</v>
      </c>
      <c r="G780" s="8" t="str">
        <f>IFERROR(__xludf.DUMMYFUNCTION("""COMPUTED_VALUE"""),"Sapotille")</f>
        <v>Sapotille</v>
      </c>
      <c r="H780" s="8" t="str">
        <f>IFERROR(__xludf.DUMMYFUNCTION("""COMPUTED_VALUE"""),"seed")</f>
        <v>seed</v>
      </c>
      <c r="I780" s="8"/>
      <c r="J780" s="8"/>
      <c r="K780" s="8"/>
      <c r="L780" s="8" t="str">
        <f>IFERROR(__xludf.DUMMYFUNCTION("""COMPUTED_VALUE"""),"multiple")</f>
        <v>multiple</v>
      </c>
      <c r="M780" s="8">
        <f>IFERROR(__xludf.DUMMYFUNCTION("""COMPUTED_VALUE"""),0.0)</f>
        <v>0</v>
      </c>
      <c r="N780" s="8">
        <f>IFERROR(__xludf.DUMMYFUNCTION("""COMPUTED_VALUE"""),18.0)</f>
        <v>18</v>
      </c>
      <c r="O780" s="8"/>
      <c r="P780" s="8"/>
      <c r="Q780" s="8"/>
      <c r="R780" s="8"/>
      <c r="S780" s="8"/>
      <c r="T780" s="8"/>
      <c r="U780" s="8"/>
      <c r="V780" s="8"/>
      <c r="W780" s="8"/>
      <c r="X780" s="8"/>
      <c r="Y780" s="8"/>
      <c r="Z780" s="8"/>
    </row>
    <row r="781">
      <c r="A781" s="8">
        <f>IFERROR(__xludf.DUMMYFUNCTION("""COMPUTED_VALUE"""),1191.0)</f>
        <v>1191</v>
      </c>
      <c r="B781" s="8" t="str">
        <f>IFERROR(__xludf.DUMMYFUNCTION("""COMPUTED_VALUE"""),"tree")</f>
        <v>tree</v>
      </c>
      <c r="C781" s="8" t="str">
        <f>IFERROR(__xludf.DUMMYFUNCTION("""COMPUTED_VALUE"""),"graft")</f>
        <v>graft</v>
      </c>
      <c r="D781" s="55" t="str">
        <f>IFERROR(__xludf.DUMMYFUNCTION("""COMPUTED_VALUE"""),"Manilkara zapota")</f>
        <v>Manilkara zapota</v>
      </c>
      <c r="E781" s="8" t="str">
        <f>IFERROR(__xludf.DUMMYFUNCTION("""COMPUTED_VALUE"""),"Cucumber")</f>
        <v>Cucumber</v>
      </c>
      <c r="F781" s="8" t="str">
        <f>IFERROR(__xludf.DUMMYFUNCTION("""COMPUTED_VALUE"""),"Sapodilla")</f>
        <v>Sapodilla</v>
      </c>
      <c r="G781" s="8" t="str">
        <f>IFERROR(__xludf.DUMMYFUNCTION("""COMPUTED_VALUE"""),"Sapotille")</f>
        <v>Sapotille</v>
      </c>
      <c r="H781" s="8" t="str">
        <f>IFERROR(__xludf.DUMMYFUNCTION("""COMPUTED_VALUE"""),"seed")</f>
        <v>seed</v>
      </c>
      <c r="I781" s="8"/>
      <c r="J781" s="8"/>
      <c r="K781" s="8"/>
      <c r="L781" s="8" t="str">
        <f>IFERROR(__xludf.DUMMYFUNCTION("""COMPUTED_VALUE"""),"multiple")</f>
        <v>multiple</v>
      </c>
      <c r="M781" s="8">
        <f>IFERROR(__xludf.DUMMYFUNCTION("""COMPUTED_VALUE"""),0.0)</f>
        <v>0</v>
      </c>
      <c r="N781" s="8">
        <f>IFERROR(__xludf.DUMMYFUNCTION("""COMPUTED_VALUE"""),18.0)</f>
        <v>18</v>
      </c>
      <c r="O781" s="8"/>
      <c r="P781" s="8"/>
      <c r="Q781" s="8"/>
      <c r="R781" s="8"/>
      <c r="S781" s="8"/>
      <c r="T781" s="8"/>
      <c r="U781" s="8"/>
      <c r="V781" s="8"/>
      <c r="W781" s="8"/>
      <c r="X781" s="8"/>
      <c r="Y781" s="8"/>
      <c r="Z781" s="8"/>
    </row>
    <row r="782">
      <c r="A782" s="8">
        <f>IFERROR(__xludf.DUMMYFUNCTION("""COMPUTED_VALUE"""),1192.0)</f>
        <v>1192</v>
      </c>
      <c r="B782" s="8" t="str">
        <f>IFERROR(__xludf.DUMMYFUNCTION("""COMPUTED_VALUE"""),"tree")</f>
        <v>tree</v>
      </c>
      <c r="C782" s="8" t="str">
        <f>IFERROR(__xludf.DUMMYFUNCTION("""COMPUTED_VALUE"""),"graft")</f>
        <v>graft</v>
      </c>
      <c r="D782" s="55" t="str">
        <f>IFERROR(__xludf.DUMMYFUNCTION("""COMPUTED_VALUE"""),"Manilkara zapota")</f>
        <v>Manilkara zapota</v>
      </c>
      <c r="E782" s="8" t="str">
        <f>IFERROR(__xludf.DUMMYFUNCTION("""COMPUTED_VALUE"""),"Cucumber")</f>
        <v>Cucumber</v>
      </c>
      <c r="F782" s="8" t="str">
        <f>IFERROR(__xludf.DUMMYFUNCTION("""COMPUTED_VALUE"""),"Sapodilla")</f>
        <v>Sapodilla</v>
      </c>
      <c r="G782" s="8" t="str">
        <f>IFERROR(__xludf.DUMMYFUNCTION("""COMPUTED_VALUE"""),"Sapotille")</f>
        <v>Sapotille</v>
      </c>
      <c r="H782" s="8" t="str">
        <f>IFERROR(__xludf.DUMMYFUNCTION("""COMPUTED_VALUE"""),"seed")</f>
        <v>seed</v>
      </c>
      <c r="I782" s="8"/>
      <c r="J782" s="8"/>
      <c r="K782" s="8"/>
      <c r="L782" s="8" t="str">
        <f>IFERROR(__xludf.DUMMYFUNCTION("""COMPUTED_VALUE"""),"multiple")</f>
        <v>multiple</v>
      </c>
      <c r="M782" s="8">
        <f>IFERROR(__xludf.DUMMYFUNCTION("""COMPUTED_VALUE"""),0.0)</f>
        <v>0</v>
      </c>
      <c r="N782" s="8">
        <f>IFERROR(__xludf.DUMMYFUNCTION("""COMPUTED_VALUE"""),18.0)</f>
        <v>18</v>
      </c>
      <c r="O782" s="8"/>
      <c r="P782" s="8"/>
      <c r="Q782" s="8"/>
      <c r="R782" s="8"/>
      <c r="S782" s="8"/>
      <c r="T782" s="8"/>
      <c r="U782" s="8"/>
      <c r="V782" s="8"/>
      <c r="W782" s="8"/>
      <c r="X782" s="8"/>
      <c r="Y782" s="8"/>
      <c r="Z782" s="8"/>
    </row>
    <row r="783">
      <c r="A783" s="8">
        <f>IFERROR(__xludf.DUMMYFUNCTION("""COMPUTED_VALUE"""),1193.0)</f>
        <v>1193</v>
      </c>
      <c r="B783" s="8" t="str">
        <f>IFERROR(__xludf.DUMMYFUNCTION("""COMPUTED_VALUE"""),"tree")</f>
        <v>tree</v>
      </c>
      <c r="C783" s="8" t="str">
        <f>IFERROR(__xludf.DUMMYFUNCTION("""COMPUTED_VALUE"""),"graft")</f>
        <v>graft</v>
      </c>
      <c r="D783" s="55" t="str">
        <f>IFERROR(__xludf.DUMMYFUNCTION("""COMPUTED_VALUE"""),"Manilkara zapota")</f>
        <v>Manilkara zapota</v>
      </c>
      <c r="E783" s="8" t="str">
        <f>IFERROR(__xludf.DUMMYFUNCTION("""COMPUTED_VALUE"""),"Cucumber")</f>
        <v>Cucumber</v>
      </c>
      <c r="F783" s="8" t="str">
        <f>IFERROR(__xludf.DUMMYFUNCTION("""COMPUTED_VALUE"""),"Sapodilla")</f>
        <v>Sapodilla</v>
      </c>
      <c r="G783" s="8" t="str">
        <f>IFERROR(__xludf.DUMMYFUNCTION("""COMPUTED_VALUE"""),"Sapotille")</f>
        <v>Sapotille</v>
      </c>
      <c r="H783" s="8" t="str">
        <f>IFERROR(__xludf.DUMMYFUNCTION("""COMPUTED_VALUE"""),"seed")</f>
        <v>seed</v>
      </c>
      <c r="I783" s="8"/>
      <c r="J783" s="8"/>
      <c r="K783" s="8"/>
      <c r="L783" s="8" t="str">
        <f>IFERROR(__xludf.DUMMYFUNCTION("""COMPUTED_VALUE"""),"multiple")</f>
        <v>multiple</v>
      </c>
      <c r="M783" s="8">
        <f>IFERROR(__xludf.DUMMYFUNCTION("""COMPUTED_VALUE"""),0.0)</f>
        <v>0</v>
      </c>
      <c r="N783" s="8">
        <f>IFERROR(__xludf.DUMMYFUNCTION("""COMPUTED_VALUE"""),18.0)</f>
        <v>18</v>
      </c>
      <c r="O783" s="8"/>
      <c r="P783" s="8"/>
      <c r="Q783" s="8"/>
      <c r="R783" s="8"/>
      <c r="S783" s="8"/>
      <c r="T783" s="8"/>
      <c r="U783" s="8"/>
      <c r="V783" s="8"/>
      <c r="W783" s="8"/>
      <c r="X783" s="8"/>
      <c r="Y783" s="8"/>
      <c r="Z783" s="8"/>
    </row>
    <row r="784">
      <c r="A784" s="8">
        <f>IFERROR(__xludf.DUMMYFUNCTION("""COMPUTED_VALUE"""),1194.0)</f>
        <v>1194</v>
      </c>
      <c r="B784" s="8" t="str">
        <f>IFERROR(__xludf.DUMMYFUNCTION("""COMPUTED_VALUE"""),"tree")</f>
        <v>tree</v>
      </c>
      <c r="C784" s="8" t="str">
        <f>IFERROR(__xludf.DUMMYFUNCTION("""COMPUTED_VALUE"""),"graft")</f>
        <v>graft</v>
      </c>
      <c r="D784" s="55" t="str">
        <f>IFERROR(__xludf.DUMMYFUNCTION("""COMPUTED_VALUE"""),"Manilkara zapota")</f>
        <v>Manilkara zapota</v>
      </c>
      <c r="E784" s="8" t="str">
        <f>IFERROR(__xludf.DUMMYFUNCTION("""COMPUTED_VALUE"""),"Cucumber")</f>
        <v>Cucumber</v>
      </c>
      <c r="F784" s="8" t="str">
        <f>IFERROR(__xludf.DUMMYFUNCTION("""COMPUTED_VALUE"""),"Sapodilla")</f>
        <v>Sapodilla</v>
      </c>
      <c r="G784" s="8" t="str">
        <f>IFERROR(__xludf.DUMMYFUNCTION("""COMPUTED_VALUE"""),"Sapotille")</f>
        <v>Sapotille</v>
      </c>
      <c r="H784" s="8" t="str">
        <f>IFERROR(__xludf.DUMMYFUNCTION("""COMPUTED_VALUE"""),"seed")</f>
        <v>seed</v>
      </c>
      <c r="I784" s="8"/>
      <c r="J784" s="8"/>
      <c r="K784" s="8"/>
      <c r="L784" s="8" t="str">
        <f>IFERROR(__xludf.DUMMYFUNCTION("""COMPUTED_VALUE"""),"multiple")</f>
        <v>multiple</v>
      </c>
      <c r="M784" s="8">
        <f>IFERROR(__xludf.DUMMYFUNCTION("""COMPUTED_VALUE"""),0.0)</f>
        <v>0</v>
      </c>
      <c r="N784" s="8">
        <f>IFERROR(__xludf.DUMMYFUNCTION("""COMPUTED_VALUE"""),18.0)</f>
        <v>18</v>
      </c>
      <c r="O784" s="8"/>
      <c r="P784" s="8"/>
      <c r="Q784" s="8"/>
      <c r="R784" s="8"/>
      <c r="S784" s="8"/>
      <c r="T784" s="8"/>
      <c r="U784" s="8"/>
      <c r="V784" s="8"/>
      <c r="W784" s="8"/>
      <c r="X784" s="8"/>
      <c r="Y784" s="8"/>
      <c r="Z784" s="8"/>
    </row>
    <row r="785">
      <c r="A785" s="8">
        <f>IFERROR(__xludf.DUMMYFUNCTION("""COMPUTED_VALUE"""),1195.0)</f>
        <v>1195</v>
      </c>
      <c r="B785" s="8" t="str">
        <f>IFERROR(__xludf.DUMMYFUNCTION("""COMPUTED_VALUE"""),"tree")</f>
        <v>tree</v>
      </c>
      <c r="C785" s="8" t="str">
        <f>IFERROR(__xludf.DUMMYFUNCTION("""COMPUTED_VALUE"""),"graft")</f>
        <v>graft</v>
      </c>
      <c r="D785" s="55" t="str">
        <f>IFERROR(__xludf.DUMMYFUNCTION("""COMPUTED_VALUE"""),"Manilkara zapota")</f>
        <v>Manilkara zapota</v>
      </c>
      <c r="E785" s="8" t="str">
        <f>IFERROR(__xludf.DUMMYFUNCTION("""COMPUTED_VALUE"""),"Cucumber")</f>
        <v>Cucumber</v>
      </c>
      <c r="F785" s="8" t="str">
        <f>IFERROR(__xludf.DUMMYFUNCTION("""COMPUTED_VALUE"""),"Sapodilla")</f>
        <v>Sapodilla</v>
      </c>
      <c r="G785" s="8" t="str">
        <f>IFERROR(__xludf.DUMMYFUNCTION("""COMPUTED_VALUE"""),"Sapotille")</f>
        <v>Sapotille</v>
      </c>
      <c r="H785" s="8" t="str">
        <f>IFERROR(__xludf.DUMMYFUNCTION("""COMPUTED_VALUE"""),"seed")</f>
        <v>seed</v>
      </c>
      <c r="I785" s="8"/>
      <c r="J785" s="8"/>
      <c r="K785" s="8"/>
      <c r="L785" s="8" t="str">
        <f>IFERROR(__xludf.DUMMYFUNCTION("""COMPUTED_VALUE"""),"multiple")</f>
        <v>multiple</v>
      </c>
      <c r="M785" s="8">
        <f>IFERROR(__xludf.DUMMYFUNCTION("""COMPUTED_VALUE"""),0.0)</f>
        <v>0</v>
      </c>
      <c r="N785" s="8">
        <f>IFERROR(__xludf.DUMMYFUNCTION("""COMPUTED_VALUE"""),18.0)</f>
        <v>18</v>
      </c>
      <c r="O785" s="8"/>
      <c r="P785" s="8"/>
      <c r="Q785" s="8"/>
      <c r="R785" s="8"/>
      <c r="S785" s="8"/>
      <c r="T785" s="8"/>
      <c r="U785" s="8"/>
      <c r="V785" s="8"/>
      <c r="W785" s="8"/>
      <c r="X785" s="8"/>
      <c r="Y785" s="8"/>
      <c r="Z785" s="8"/>
    </row>
    <row r="786">
      <c r="A786" s="8">
        <f>IFERROR(__xludf.DUMMYFUNCTION("""COMPUTED_VALUE"""),1196.0)</f>
        <v>1196</v>
      </c>
      <c r="B786" s="8" t="str">
        <f>IFERROR(__xludf.DUMMYFUNCTION("""COMPUTED_VALUE"""),"tree")</f>
        <v>tree</v>
      </c>
      <c r="C786" s="8" t="str">
        <f>IFERROR(__xludf.DUMMYFUNCTION("""COMPUTED_VALUE"""),"graft")</f>
        <v>graft</v>
      </c>
      <c r="D786" s="55" t="str">
        <f>IFERROR(__xludf.DUMMYFUNCTION("""COMPUTED_VALUE"""),"Manilkara zapota")</f>
        <v>Manilkara zapota</v>
      </c>
      <c r="E786" s="8" t="str">
        <f>IFERROR(__xludf.DUMMYFUNCTION("""COMPUTED_VALUE"""),"Cucumber")</f>
        <v>Cucumber</v>
      </c>
      <c r="F786" s="8" t="str">
        <f>IFERROR(__xludf.DUMMYFUNCTION("""COMPUTED_VALUE"""),"Sapodilla")</f>
        <v>Sapodilla</v>
      </c>
      <c r="G786" s="8" t="str">
        <f>IFERROR(__xludf.DUMMYFUNCTION("""COMPUTED_VALUE"""),"Sapotille")</f>
        <v>Sapotille</v>
      </c>
      <c r="H786" s="8" t="str">
        <f>IFERROR(__xludf.DUMMYFUNCTION("""COMPUTED_VALUE"""),"seed")</f>
        <v>seed</v>
      </c>
      <c r="I786" s="8"/>
      <c r="J786" s="8"/>
      <c r="K786" s="8"/>
      <c r="L786" s="8" t="str">
        <f>IFERROR(__xludf.DUMMYFUNCTION("""COMPUTED_VALUE"""),"multiple")</f>
        <v>multiple</v>
      </c>
      <c r="M786" s="8">
        <f>IFERROR(__xludf.DUMMYFUNCTION("""COMPUTED_VALUE"""),0.0)</f>
        <v>0</v>
      </c>
      <c r="N786" s="8">
        <f>IFERROR(__xludf.DUMMYFUNCTION("""COMPUTED_VALUE"""),18.0)</f>
        <v>18</v>
      </c>
      <c r="O786" s="8"/>
      <c r="P786" s="8"/>
      <c r="Q786" s="8"/>
      <c r="R786" s="8"/>
      <c r="S786" s="8"/>
      <c r="T786" s="8"/>
      <c r="U786" s="8"/>
      <c r="V786" s="8"/>
      <c r="W786" s="8"/>
      <c r="X786" s="8"/>
      <c r="Y786" s="8"/>
      <c r="Z786" s="8"/>
    </row>
    <row r="787">
      <c r="A787" s="8">
        <f>IFERROR(__xludf.DUMMYFUNCTION("""COMPUTED_VALUE"""),1197.0)</f>
        <v>1197</v>
      </c>
      <c r="B787" s="8" t="str">
        <f>IFERROR(__xludf.DUMMYFUNCTION("""COMPUTED_VALUE"""),"tree")</f>
        <v>tree</v>
      </c>
      <c r="C787" s="8" t="str">
        <f>IFERROR(__xludf.DUMMYFUNCTION("""COMPUTED_VALUE"""),"graft")</f>
        <v>graft</v>
      </c>
      <c r="D787" s="55" t="str">
        <f>IFERROR(__xludf.DUMMYFUNCTION("""COMPUTED_VALUE"""),"Manilkara zapota")</f>
        <v>Manilkara zapota</v>
      </c>
      <c r="E787" s="8" t="str">
        <f>IFERROR(__xludf.DUMMYFUNCTION("""COMPUTED_VALUE"""),"Cucumber")</f>
        <v>Cucumber</v>
      </c>
      <c r="F787" s="8" t="str">
        <f>IFERROR(__xludf.DUMMYFUNCTION("""COMPUTED_VALUE"""),"Sapodilla")</f>
        <v>Sapodilla</v>
      </c>
      <c r="G787" s="8" t="str">
        <f>IFERROR(__xludf.DUMMYFUNCTION("""COMPUTED_VALUE"""),"Sapotille")</f>
        <v>Sapotille</v>
      </c>
      <c r="H787" s="8" t="str">
        <f>IFERROR(__xludf.DUMMYFUNCTION("""COMPUTED_VALUE"""),"seed")</f>
        <v>seed</v>
      </c>
      <c r="I787" s="8"/>
      <c r="J787" s="8"/>
      <c r="K787" s="8"/>
      <c r="L787" s="8" t="str">
        <f>IFERROR(__xludf.DUMMYFUNCTION("""COMPUTED_VALUE"""),"multiple")</f>
        <v>multiple</v>
      </c>
      <c r="M787" s="8">
        <f>IFERROR(__xludf.DUMMYFUNCTION("""COMPUTED_VALUE"""),0.0)</f>
        <v>0</v>
      </c>
      <c r="N787" s="8">
        <f>IFERROR(__xludf.DUMMYFUNCTION("""COMPUTED_VALUE"""),18.0)</f>
        <v>18</v>
      </c>
      <c r="O787" s="8"/>
      <c r="P787" s="8"/>
      <c r="Q787" s="8"/>
      <c r="R787" s="8"/>
      <c r="S787" s="8"/>
      <c r="T787" s="8"/>
      <c r="U787" s="8"/>
      <c r="V787" s="8"/>
      <c r="W787" s="8"/>
      <c r="X787" s="8"/>
      <c r="Y787" s="8"/>
      <c r="Z787" s="8"/>
    </row>
    <row r="788">
      <c r="A788" s="8">
        <f>IFERROR(__xludf.DUMMYFUNCTION("""COMPUTED_VALUE"""),1198.0)</f>
        <v>1198</v>
      </c>
      <c r="B788" s="8" t="str">
        <f>IFERROR(__xludf.DUMMYFUNCTION("""COMPUTED_VALUE"""),"tree")</f>
        <v>tree</v>
      </c>
      <c r="C788" s="8" t="str">
        <f>IFERROR(__xludf.DUMMYFUNCTION("""COMPUTED_VALUE"""),"graft")</f>
        <v>graft</v>
      </c>
      <c r="D788" s="55" t="str">
        <f>IFERROR(__xludf.DUMMYFUNCTION("""COMPUTED_VALUE"""),"Manilkara zapota")</f>
        <v>Manilkara zapota</v>
      </c>
      <c r="E788" s="8" t="str">
        <f>IFERROR(__xludf.DUMMYFUNCTION("""COMPUTED_VALUE"""),"Cucumber")</f>
        <v>Cucumber</v>
      </c>
      <c r="F788" s="8" t="str">
        <f>IFERROR(__xludf.DUMMYFUNCTION("""COMPUTED_VALUE"""),"Sapodilla")</f>
        <v>Sapodilla</v>
      </c>
      <c r="G788" s="8" t="str">
        <f>IFERROR(__xludf.DUMMYFUNCTION("""COMPUTED_VALUE"""),"Sapotille")</f>
        <v>Sapotille</v>
      </c>
      <c r="H788" s="8" t="str">
        <f>IFERROR(__xludf.DUMMYFUNCTION("""COMPUTED_VALUE"""),"seed")</f>
        <v>seed</v>
      </c>
      <c r="I788" s="8"/>
      <c r="J788" s="8"/>
      <c r="K788" s="8"/>
      <c r="L788" s="8" t="str">
        <f>IFERROR(__xludf.DUMMYFUNCTION("""COMPUTED_VALUE"""),"multiple")</f>
        <v>multiple</v>
      </c>
      <c r="M788" s="8">
        <f>IFERROR(__xludf.DUMMYFUNCTION("""COMPUTED_VALUE"""),0.0)</f>
        <v>0</v>
      </c>
      <c r="N788" s="8">
        <f>IFERROR(__xludf.DUMMYFUNCTION("""COMPUTED_VALUE"""),18.0)</f>
        <v>18</v>
      </c>
      <c r="O788" s="8"/>
      <c r="P788" s="8"/>
      <c r="Q788" s="8"/>
      <c r="R788" s="8"/>
      <c r="S788" s="8"/>
      <c r="T788" s="8"/>
      <c r="U788" s="8"/>
      <c r="V788" s="8"/>
      <c r="W788" s="8"/>
      <c r="X788" s="8"/>
      <c r="Y788" s="8"/>
      <c r="Z788" s="8"/>
    </row>
    <row r="789">
      <c r="A789" s="8">
        <f>IFERROR(__xludf.DUMMYFUNCTION("""COMPUTED_VALUE"""),1199.0)</f>
        <v>1199</v>
      </c>
      <c r="B789" s="8" t="str">
        <f>IFERROR(__xludf.DUMMYFUNCTION("""COMPUTED_VALUE"""),"tree")</f>
        <v>tree</v>
      </c>
      <c r="C789" s="8" t="str">
        <f>IFERROR(__xludf.DUMMYFUNCTION("""COMPUTED_VALUE"""),"graft")</f>
        <v>graft</v>
      </c>
      <c r="D789" s="55" t="str">
        <f>IFERROR(__xludf.DUMMYFUNCTION("""COMPUTED_VALUE"""),"Manilkara zapota")</f>
        <v>Manilkara zapota</v>
      </c>
      <c r="E789" s="8" t="str">
        <f>IFERROR(__xludf.DUMMYFUNCTION("""COMPUTED_VALUE"""),"Cucumber")</f>
        <v>Cucumber</v>
      </c>
      <c r="F789" s="8" t="str">
        <f>IFERROR(__xludf.DUMMYFUNCTION("""COMPUTED_VALUE"""),"Sapodilla")</f>
        <v>Sapodilla</v>
      </c>
      <c r="G789" s="8" t="str">
        <f>IFERROR(__xludf.DUMMYFUNCTION("""COMPUTED_VALUE"""),"Sapotille")</f>
        <v>Sapotille</v>
      </c>
      <c r="H789" s="8" t="str">
        <f>IFERROR(__xludf.DUMMYFUNCTION("""COMPUTED_VALUE"""),"seed")</f>
        <v>seed</v>
      </c>
      <c r="I789" s="8"/>
      <c r="J789" s="8"/>
      <c r="K789" s="8"/>
      <c r="L789" s="8" t="str">
        <f>IFERROR(__xludf.DUMMYFUNCTION("""COMPUTED_VALUE"""),"multiple")</f>
        <v>multiple</v>
      </c>
      <c r="M789" s="8">
        <f>IFERROR(__xludf.DUMMYFUNCTION("""COMPUTED_VALUE"""),0.0)</f>
        <v>0</v>
      </c>
      <c r="N789" s="8">
        <f>IFERROR(__xludf.DUMMYFUNCTION("""COMPUTED_VALUE"""),18.0)</f>
        <v>18</v>
      </c>
      <c r="O789" s="8"/>
      <c r="P789" s="8"/>
      <c r="Q789" s="8"/>
      <c r="R789" s="8"/>
      <c r="S789" s="8"/>
      <c r="T789" s="8"/>
      <c r="U789" s="8"/>
      <c r="V789" s="8"/>
      <c r="W789" s="8"/>
      <c r="X789" s="8"/>
      <c r="Y789" s="8"/>
      <c r="Z789" s="8"/>
    </row>
    <row r="790">
      <c r="A790" s="8">
        <f>IFERROR(__xludf.DUMMYFUNCTION("""COMPUTED_VALUE"""),1200.0)</f>
        <v>1200</v>
      </c>
      <c r="B790" s="8" t="str">
        <f>IFERROR(__xludf.DUMMYFUNCTION("""COMPUTED_VALUE"""),"tree")</f>
        <v>tree</v>
      </c>
      <c r="C790" s="8" t="str">
        <f>IFERROR(__xludf.DUMMYFUNCTION("""COMPUTED_VALUE"""),"air_layer")</f>
        <v>air_layer</v>
      </c>
      <c r="D790" s="55" t="str">
        <f>IFERROR(__xludf.DUMMYFUNCTION("""COMPUTED_VALUE"""),"Dimocarpus longan")</f>
        <v>Dimocarpus longan</v>
      </c>
      <c r="E790" s="8" t="str">
        <f>IFERROR(__xludf.DUMMYFUNCTION("""COMPUTED_VALUE"""),"Red")</f>
        <v>Red</v>
      </c>
      <c r="F790" s="8" t="str">
        <f>IFERROR(__xludf.DUMMYFUNCTION("""COMPUTED_VALUE"""),"Longan")</f>
        <v>Longan</v>
      </c>
      <c r="G790" s="8" t="str">
        <f>IFERROR(__xludf.DUMMYFUNCTION("""COMPUTED_VALUE"""),"Longane")</f>
        <v>Longane</v>
      </c>
      <c r="H790" s="8" t="str">
        <f>IFERROR(__xludf.DUMMYFUNCTION("""COMPUTED_VALUE"""),"seed")</f>
        <v>seed</v>
      </c>
      <c r="I790" s="8"/>
      <c r="J790" s="8"/>
      <c r="K790" s="8"/>
      <c r="L790" s="8">
        <f>IFERROR(__xludf.DUMMYFUNCTION("""COMPUTED_VALUE"""),1.0)</f>
        <v>1</v>
      </c>
      <c r="M790" s="8">
        <f>IFERROR(__xludf.DUMMYFUNCTION("""COMPUTED_VALUE"""),0.0)</f>
        <v>0</v>
      </c>
      <c r="N790" s="8">
        <f>IFERROR(__xludf.DUMMYFUNCTION("""COMPUTED_VALUE"""),15.0)</f>
        <v>15</v>
      </c>
      <c r="O790" s="8"/>
      <c r="P790" s="8"/>
      <c r="Q790" s="8"/>
      <c r="R790" s="8"/>
      <c r="S790" s="8"/>
      <c r="T790" s="8"/>
      <c r="U790" s="8"/>
      <c r="V790" s="8"/>
      <c r="W790" s="8"/>
      <c r="X790" s="8"/>
      <c r="Y790" s="8"/>
      <c r="Z790" s="8"/>
    </row>
    <row r="791">
      <c r="A791" s="8">
        <f>IFERROR(__xludf.DUMMYFUNCTION("""COMPUTED_VALUE"""),1201.0)</f>
        <v>1201</v>
      </c>
      <c r="B791" s="8" t="str">
        <f>IFERROR(__xludf.DUMMYFUNCTION("""COMPUTED_VALUE"""),"tree")</f>
        <v>tree</v>
      </c>
      <c r="C791" s="8" t="str">
        <f>IFERROR(__xludf.DUMMYFUNCTION("""COMPUTED_VALUE"""),"air_layer")</f>
        <v>air_layer</v>
      </c>
      <c r="D791" s="55" t="str">
        <f>IFERROR(__xludf.DUMMYFUNCTION("""COMPUTED_VALUE"""),"Dimocarpus longan")</f>
        <v>Dimocarpus longan</v>
      </c>
      <c r="E791" s="8" t="str">
        <f>IFERROR(__xludf.DUMMYFUNCTION("""COMPUTED_VALUE"""),"Red")</f>
        <v>Red</v>
      </c>
      <c r="F791" s="8" t="str">
        <f>IFERROR(__xludf.DUMMYFUNCTION("""COMPUTED_VALUE"""),"Longan")</f>
        <v>Longan</v>
      </c>
      <c r="G791" s="8" t="str">
        <f>IFERROR(__xludf.DUMMYFUNCTION("""COMPUTED_VALUE"""),"Longane")</f>
        <v>Longane</v>
      </c>
      <c r="H791" s="8" t="str">
        <f>IFERROR(__xludf.DUMMYFUNCTION("""COMPUTED_VALUE"""),"seed")</f>
        <v>seed</v>
      </c>
      <c r="I791" s="8"/>
      <c r="J791" s="8"/>
      <c r="K791" s="8"/>
      <c r="L791" s="8">
        <f>IFERROR(__xludf.DUMMYFUNCTION("""COMPUTED_VALUE"""),1.0)</f>
        <v>1</v>
      </c>
      <c r="M791" s="8">
        <f>IFERROR(__xludf.DUMMYFUNCTION("""COMPUTED_VALUE"""),0.0)</f>
        <v>0</v>
      </c>
      <c r="N791" s="8">
        <f>IFERROR(__xludf.DUMMYFUNCTION("""COMPUTED_VALUE"""),15.0)</f>
        <v>15</v>
      </c>
      <c r="O791" s="8"/>
      <c r="P791" s="8"/>
      <c r="Q791" s="8"/>
      <c r="R791" s="8"/>
      <c r="S791" s="8"/>
      <c r="T791" s="8"/>
      <c r="U791" s="8"/>
      <c r="V791" s="8"/>
      <c r="W791" s="8"/>
      <c r="X791" s="8"/>
      <c r="Y791" s="8"/>
      <c r="Z791" s="8"/>
    </row>
    <row r="792">
      <c r="A792" s="8">
        <f>IFERROR(__xludf.DUMMYFUNCTION("""COMPUTED_VALUE"""),1202.0)</f>
        <v>1202</v>
      </c>
      <c r="B792" s="8" t="str">
        <f>IFERROR(__xludf.DUMMYFUNCTION("""COMPUTED_VALUE"""),"tree")</f>
        <v>tree</v>
      </c>
      <c r="C792" s="8" t="str">
        <f>IFERROR(__xludf.DUMMYFUNCTION("""COMPUTED_VALUE"""),"air_layer")</f>
        <v>air_layer</v>
      </c>
      <c r="D792" s="55" t="str">
        <f>IFERROR(__xludf.DUMMYFUNCTION("""COMPUTED_VALUE"""),"Dimocarpus longan")</f>
        <v>Dimocarpus longan</v>
      </c>
      <c r="E792" s="8" t="str">
        <f>IFERROR(__xludf.DUMMYFUNCTION("""COMPUTED_VALUE"""),"Red")</f>
        <v>Red</v>
      </c>
      <c r="F792" s="8" t="str">
        <f>IFERROR(__xludf.DUMMYFUNCTION("""COMPUTED_VALUE"""),"Longan")</f>
        <v>Longan</v>
      </c>
      <c r="G792" s="8" t="str">
        <f>IFERROR(__xludf.DUMMYFUNCTION("""COMPUTED_VALUE"""),"Longane")</f>
        <v>Longane</v>
      </c>
      <c r="H792" s="8" t="str">
        <f>IFERROR(__xludf.DUMMYFUNCTION("""COMPUTED_VALUE"""),"seed")</f>
        <v>seed</v>
      </c>
      <c r="I792" s="8"/>
      <c r="J792" s="8"/>
      <c r="K792" s="8"/>
      <c r="L792" s="8">
        <f>IFERROR(__xludf.DUMMYFUNCTION("""COMPUTED_VALUE"""),1.0)</f>
        <v>1</v>
      </c>
      <c r="M792" s="8">
        <f>IFERROR(__xludf.DUMMYFUNCTION("""COMPUTED_VALUE"""),0.0)</f>
        <v>0</v>
      </c>
      <c r="N792" s="8">
        <f>IFERROR(__xludf.DUMMYFUNCTION("""COMPUTED_VALUE"""),15.0)</f>
        <v>15</v>
      </c>
      <c r="O792" s="8"/>
      <c r="P792" s="8"/>
      <c r="Q792" s="8"/>
      <c r="R792" s="8"/>
      <c r="S792" s="8"/>
      <c r="T792" s="8"/>
      <c r="U792" s="8"/>
      <c r="V792" s="8"/>
      <c r="W792" s="8"/>
      <c r="X792" s="8"/>
      <c r="Y792" s="8"/>
      <c r="Z792" s="8"/>
    </row>
    <row r="793">
      <c r="A793" s="8">
        <f>IFERROR(__xludf.DUMMYFUNCTION("""COMPUTED_VALUE"""),1203.0)</f>
        <v>1203</v>
      </c>
      <c r="B793" s="8" t="str">
        <f>IFERROR(__xludf.DUMMYFUNCTION("""COMPUTED_VALUE"""),"tree")</f>
        <v>tree</v>
      </c>
      <c r="C793" s="8" t="str">
        <f>IFERROR(__xludf.DUMMYFUNCTION("""COMPUTED_VALUE"""),"air_layer")</f>
        <v>air_layer</v>
      </c>
      <c r="D793" s="55" t="str">
        <f>IFERROR(__xludf.DUMMYFUNCTION("""COMPUTED_VALUE"""),"Dimocarpus longan")</f>
        <v>Dimocarpus longan</v>
      </c>
      <c r="E793" s="8" t="str">
        <f>IFERROR(__xludf.DUMMYFUNCTION("""COMPUTED_VALUE"""),"Red")</f>
        <v>Red</v>
      </c>
      <c r="F793" s="8" t="str">
        <f>IFERROR(__xludf.DUMMYFUNCTION("""COMPUTED_VALUE"""),"Longan")</f>
        <v>Longan</v>
      </c>
      <c r="G793" s="8" t="str">
        <f>IFERROR(__xludf.DUMMYFUNCTION("""COMPUTED_VALUE"""),"Longane")</f>
        <v>Longane</v>
      </c>
      <c r="H793" s="8" t="str">
        <f>IFERROR(__xludf.DUMMYFUNCTION("""COMPUTED_VALUE"""),"seed")</f>
        <v>seed</v>
      </c>
      <c r="I793" s="8"/>
      <c r="J793" s="8"/>
      <c r="K793" s="8"/>
      <c r="L793" s="8">
        <f>IFERROR(__xludf.DUMMYFUNCTION("""COMPUTED_VALUE"""),1.0)</f>
        <v>1</v>
      </c>
      <c r="M793" s="8">
        <f>IFERROR(__xludf.DUMMYFUNCTION("""COMPUTED_VALUE"""),0.0)</f>
        <v>0</v>
      </c>
      <c r="N793" s="8">
        <f>IFERROR(__xludf.DUMMYFUNCTION("""COMPUTED_VALUE"""),15.0)</f>
        <v>15</v>
      </c>
      <c r="O793" s="8"/>
      <c r="P793" s="8"/>
      <c r="Q793" s="8"/>
      <c r="R793" s="8"/>
      <c r="S793" s="8"/>
      <c r="T793" s="8"/>
      <c r="U793" s="8"/>
      <c r="V793" s="8"/>
      <c r="W793" s="8"/>
      <c r="X793" s="8"/>
      <c r="Y793" s="8"/>
      <c r="Z793" s="8"/>
    </row>
    <row r="794">
      <c r="A794" s="8">
        <f>IFERROR(__xludf.DUMMYFUNCTION("""COMPUTED_VALUE"""),1204.0)</f>
        <v>1204</v>
      </c>
      <c r="B794" s="8" t="str">
        <f>IFERROR(__xludf.DUMMYFUNCTION("""COMPUTED_VALUE"""),"tree")</f>
        <v>tree</v>
      </c>
      <c r="C794" s="8" t="str">
        <f>IFERROR(__xludf.DUMMYFUNCTION("""COMPUTED_VALUE"""),"air_layer")</f>
        <v>air_layer</v>
      </c>
      <c r="D794" s="55" t="str">
        <f>IFERROR(__xludf.DUMMYFUNCTION("""COMPUTED_VALUE"""),"Dimocarpus longan")</f>
        <v>Dimocarpus longan</v>
      </c>
      <c r="E794" s="8" t="str">
        <f>IFERROR(__xludf.DUMMYFUNCTION("""COMPUTED_VALUE"""),"Red")</f>
        <v>Red</v>
      </c>
      <c r="F794" s="8" t="str">
        <f>IFERROR(__xludf.DUMMYFUNCTION("""COMPUTED_VALUE"""),"Longan")</f>
        <v>Longan</v>
      </c>
      <c r="G794" s="8" t="str">
        <f>IFERROR(__xludf.DUMMYFUNCTION("""COMPUTED_VALUE"""),"Longane")</f>
        <v>Longane</v>
      </c>
      <c r="H794" s="8" t="str">
        <f>IFERROR(__xludf.DUMMYFUNCTION("""COMPUTED_VALUE"""),"seed")</f>
        <v>seed</v>
      </c>
      <c r="I794" s="8"/>
      <c r="J794" s="8"/>
      <c r="K794" s="8"/>
      <c r="L794" s="8">
        <f>IFERROR(__xludf.DUMMYFUNCTION("""COMPUTED_VALUE"""),1.0)</f>
        <v>1</v>
      </c>
      <c r="M794" s="8">
        <f>IFERROR(__xludf.DUMMYFUNCTION("""COMPUTED_VALUE"""),0.0)</f>
        <v>0</v>
      </c>
      <c r="N794" s="8">
        <f>IFERROR(__xludf.DUMMYFUNCTION("""COMPUTED_VALUE"""),15.0)</f>
        <v>15</v>
      </c>
      <c r="O794" s="8"/>
      <c r="P794" s="8"/>
      <c r="Q794" s="8"/>
      <c r="R794" s="8"/>
      <c r="S794" s="8"/>
      <c r="T794" s="8"/>
      <c r="U794" s="8"/>
      <c r="V794" s="8"/>
      <c r="W794" s="8"/>
      <c r="X794" s="8"/>
      <c r="Y794" s="8"/>
      <c r="Z794" s="8"/>
    </row>
    <row r="795">
      <c r="A795" s="8">
        <f>IFERROR(__xludf.DUMMYFUNCTION("""COMPUTED_VALUE"""),1205.0)</f>
        <v>1205</v>
      </c>
      <c r="B795" s="8" t="str">
        <f>IFERROR(__xludf.DUMMYFUNCTION("""COMPUTED_VALUE"""),"tree")</f>
        <v>tree</v>
      </c>
      <c r="C795" s="8" t="str">
        <f>IFERROR(__xludf.DUMMYFUNCTION("""COMPUTED_VALUE"""),"air_layer")</f>
        <v>air_layer</v>
      </c>
      <c r="D795" s="55" t="str">
        <f>IFERROR(__xludf.DUMMYFUNCTION("""COMPUTED_VALUE"""),"Dimocarpus longan")</f>
        <v>Dimocarpus longan</v>
      </c>
      <c r="E795" s="8" t="str">
        <f>IFERROR(__xludf.DUMMYFUNCTION("""COMPUTED_VALUE"""),"Red")</f>
        <v>Red</v>
      </c>
      <c r="F795" s="8" t="str">
        <f>IFERROR(__xludf.DUMMYFUNCTION("""COMPUTED_VALUE"""),"Longan")</f>
        <v>Longan</v>
      </c>
      <c r="G795" s="8" t="str">
        <f>IFERROR(__xludf.DUMMYFUNCTION("""COMPUTED_VALUE"""),"Longane")</f>
        <v>Longane</v>
      </c>
      <c r="H795" s="8" t="str">
        <f>IFERROR(__xludf.DUMMYFUNCTION("""COMPUTED_VALUE"""),"seed")</f>
        <v>seed</v>
      </c>
      <c r="I795" s="8"/>
      <c r="J795" s="8"/>
      <c r="K795" s="8"/>
      <c r="L795" s="8">
        <f>IFERROR(__xludf.DUMMYFUNCTION("""COMPUTED_VALUE"""),1.0)</f>
        <v>1</v>
      </c>
      <c r="M795" s="8">
        <f>IFERROR(__xludf.DUMMYFUNCTION("""COMPUTED_VALUE"""),0.0)</f>
        <v>0</v>
      </c>
      <c r="N795" s="8">
        <f>IFERROR(__xludf.DUMMYFUNCTION("""COMPUTED_VALUE"""),15.0)</f>
        <v>15</v>
      </c>
      <c r="O795" s="8"/>
      <c r="P795" s="8"/>
      <c r="Q795" s="8"/>
      <c r="R795" s="8"/>
      <c r="S795" s="8"/>
      <c r="T795" s="8"/>
      <c r="U795" s="8"/>
      <c r="V795" s="8"/>
      <c r="W795" s="8"/>
      <c r="X795" s="8"/>
      <c r="Y795" s="8"/>
      <c r="Z795" s="8"/>
    </row>
    <row r="796">
      <c r="A796" s="8">
        <f>IFERROR(__xludf.DUMMYFUNCTION("""COMPUTED_VALUE"""),1206.0)</f>
        <v>1206</v>
      </c>
      <c r="B796" s="8" t="str">
        <f>IFERROR(__xludf.DUMMYFUNCTION("""COMPUTED_VALUE"""),"tree")</f>
        <v>tree</v>
      </c>
      <c r="C796" s="8" t="str">
        <f>IFERROR(__xludf.DUMMYFUNCTION("""COMPUTED_VALUE"""),"air_layer")</f>
        <v>air_layer</v>
      </c>
      <c r="D796" s="55" t="str">
        <f>IFERROR(__xludf.DUMMYFUNCTION("""COMPUTED_VALUE"""),"Dimocarpus longan")</f>
        <v>Dimocarpus longan</v>
      </c>
      <c r="E796" s="8" t="str">
        <f>IFERROR(__xludf.DUMMYFUNCTION("""COMPUTED_VALUE"""),"Red")</f>
        <v>Red</v>
      </c>
      <c r="F796" s="8" t="str">
        <f>IFERROR(__xludf.DUMMYFUNCTION("""COMPUTED_VALUE"""),"Longan")</f>
        <v>Longan</v>
      </c>
      <c r="G796" s="8" t="str">
        <f>IFERROR(__xludf.DUMMYFUNCTION("""COMPUTED_VALUE"""),"Longane")</f>
        <v>Longane</v>
      </c>
      <c r="H796" s="8" t="str">
        <f>IFERROR(__xludf.DUMMYFUNCTION("""COMPUTED_VALUE"""),"seed")</f>
        <v>seed</v>
      </c>
      <c r="I796" s="8"/>
      <c r="J796" s="8"/>
      <c r="K796" s="8"/>
      <c r="L796" s="8">
        <f>IFERROR(__xludf.DUMMYFUNCTION("""COMPUTED_VALUE"""),1.0)</f>
        <v>1</v>
      </c>
      <c r="M796" s="8">
        <f>IFERROR(__xludf.DUMMYFUNCTION("""COMPUTED_VALUE"""),0.0)</f>
        <v>0</v>
      </c>
      <c r="N796" s="8">
        <f>IFERROR(__xludf.DUMMYFUNCTION("""COMPUTED_VALUE"""),15.0)</f>
        <v>15</v>
      </c>
      <c r="O796" s="8"/>
      <c r="P796" s="8"/>
      <c r="Q796" s="8"/>
      <c r="R796" s="8"/>
      <c r="S796" s="8"/>
      <c r="T796" s="8"/>
      <c r="U796" s="8"/>
      <c r="V796" s="8"/>
      <c r="W796" s="8"/>
      <c r="X796" s="8"/>
      <c r="Y796" s="8"/>
      <c r="Z796" s="8"/>
    </row>
    <row r="797">
      <c r="A797" s="8">
        <f>IFERROR(__xludf.DUMMYFUNCTION("""COMPUTED_VALUE"""),1207.0)</f>
        <v>1207</v>
      </c>
      <c r="B797" s="8" t="str">
        <f>IFERROR(__xludf.DUMMYFUNCTION("""COMPUTED_VALUE"""),"tree")</f>
        <v>tree</v>
      </c>
      <c r="C797" s="8" t="str">
        <f>IFERROR(__xludf.DUMMYFUNCTION("""COMPUTED_VALUE"""),"air_layer")</f>
        <v>air_layer</v>
      </c>
      <c r="D797" s="55" t="str">
        <f>IFERROR(__xludf.DUMMYFUNCTION("""COMPUTED_VALUE"""),"Dimocarpus longan")</f>
        <v>Dimocarpus longan</v>
      </c>
      <c r="E797" s="8" t="str">
        <f>IFERROR(__xludf.DUMMYFUNCTION("""COMPUTED_VALUE"""),"Red")</f>
        <v>Red</v>
      </c>
      <c r="F797" s="8" t="str">
        <f>IFERROR(__xludf.DUMMYFUNCTION("""COMPUTED_VALUE"""),"Longan")</f>
        <v>Longan</v>
      </c>
      <c r="G797" s="8" t="str">
        <f>IFERROR(__xludf.DUMMYFUNCTION("""COMPUTED_VALUE"""),"Longane")</f>
        <v>Longane</v>
      </c>
      <c r="H797" s="8" t="str">
        <f>IFERROR(__xludf.DUMMYFUNCTION("""COMPUTED_VALUE"""),"seed")</f>
        <v>seed</v>
      </c>
      <c r="I797" s="8"/>
      <c r="J797" s="8"/>
      <c r="K797" s="8"/>
      <c r="L797" s="8">
        <f>IFERROR(__xludf.DUMMYFUNCTION("""COMPUTED_VALUE"""),1.0)</f>
        <v>1</v>
      </c>
      <c r="M797" s="8">
        <f>IFERROR(__xludf.DUMMYFUNCTION("""COMPUTED_VALUE"""),0.0)</f>
        <v>0</v>
      </c>
      <c r="N797" s="8">
        <f>IFERROR(__xludf.DUMMYFUNCTION("""COMPUTED_VALUE"""),15.0)</f>
        <v>15</v>
      </c>
      <c r="O797" s="8"/>
      <c r="P797" s="8"/>
      <c r="Q797" s="8"/>
      <c r="R797" s="8"/>
      <c r="S797" s="8"/>
      <c r="T797" s="8"/>
      <c r="U797" s="8"/>
      <c r="V797" s="8"/>
      <c r="W797" s="8"/>
      <c r="X797" s="8"/>
      <c r="Y797" s="8"/>
      <c r="Z797" s="8"/>
    </row>
    <row r="798">
      <c r="A798" s="8">
        <f>IFERROR(__xludf.DUMMYFUNCTION("""COMPUTED_VALUE"""),1208.0)</f>
        <v>1208</v>
      </c>
      <c r="B798" s="8" t="str">
        <f>IFERROR(__xludf.DUMMYFUNCTION("""COMPUTED_VALUE"""),"tree")</f>
        <v>tree</v>
      </c>
      <c r="C798" s="8" t="str">
        <f>IFERROR(__xludf.DUMMYFUNCTION("""COMPUTED_VALUE"""),"air_layer")</f>
        <v>air_layer</v>
      </c>
      <c r="D798" s="55" t="str">
        <f>IFERROR(__xludf.DUMMYFUNCTION("""COMPUTED_VALUE"""),"Dimocarpus longan")</f>
        <v>Dimocarpus longan</v>
      </c>
      <c r="E798" s="8" t="str">
        <f>IFERROR(__xludf.DUMMYFUNCTION("""COMPUTED_VALUE"""),"Red")</f>
        <v>Red</v>
      </c>
      <c r="F798" s="8" t="str">
        <f>IFERROR(__xludf.DUMMYFUNCTION("""COMPUTED_VALUE"""),"Longan")</f>
        <v>Longan</v>
      </c>
      <c r="G798" s="8" t="str">
        <f>IFERROR(__xludf.DUMMYFUNCTION("""COMPUTED_VALUE"""),"Longane")</f>
        <v>Longane</v>
      </c>
      <c r="H798" s="8" t="str">
        <f>IFERROR(__xludf.DUMMYFUNCTION("""COMPUTED_VALUE"""),"seed")</f>
        <v>seed</v>
      </c>
      <c r="I798" s="8"/>
      <c r="J798" s="8"/>
      <c r="K798" s="8"/>
      <c r="L798" s="8">
        <f>IFERROR(__xludf.DUMMYFUNCTION("""COMPUTED_VALUE"""),1.0)</f>
        <v>1</v>
      </c>
      <c r="M798" s="8">
        <f>IFERROR(__xludf.DUMMYFUNCTION("""COMPUTED_VALUE"""),0.0)</f>
        <v>0</v>
      </c>
      <c r="N798" s="8">
        <f>IFERROR(__xludf.DUMMYFUNCTION("""COMPUTED_VALUE"""),15.0)</f>
        <v>15</v>
      </c>
      <c r="O798" s="8"/>
      <c r="P798" s="8"/>
      <c r="Q798" s="8"/>
      <c r="R798" s="8"/>
      <c r="S798" s="8"/>
      <c r="T798" s="8"/>
      <c r="U798" s="8"/>
      <c r="V798" s="8"/>
      <c r="W798" s="8"/>
      <c r="X798" s="8"/>
      <c r="Y798" s="8"/>
      <c r="Z798" s="8"/>
    </row>
    <row r="799">
      <c r="A799" s="8">
        <f>IFERROR(__xludf.DUMMYFUNCTION("""COMPUTED_VALUE"""),1209.0)</f>
        <v>1209</v>
      </c>
      <c r="B799" s="8" t="str">
        <f>IFERROR(__xludf.DUMMYFUNCTION("""COMPUTED_VALUE"""),"tree")</f>
        <v>tree</v>
      </c>
      <c r="C799" s="8" t="str">
        <f>IFERROR(__xludf.DUMMYFUNCTION("""COMPUTED_VALUE"""),"air_layer")</f>
        <v>air_layer</v>
      </c>
      <c r="D799" s="55" t="str">
        <f>IFERROR(__xludf.DUMMYFUNCTION("""COMPUTED_VALUE"""),"Dimocarpus longan")</f>
        <v>Dimocarpus longan</v>
      </c>
      <c r="E799" s="8" t="str">
        <f>IFERROR(__xludf.DUMMYFUNCTION("""COMPUTED_VALUE"""),"Red")</f>
        <v>Red</v>
      </c>
      <c r="F799" s="8" t="str">
        <f>IFERROR(__xludf.DUMMYFUNCTION("""COMPUTED_VALUE"""),"Longan")</f>
        <v>Longan</v>
      </c>
      <c r="G799" s="8" t="str">
        <f>IFERROR(__xludf.DUMMYFUNCTION("""COMPUTED_VALUE"""),"Longane")</f>
        <v>Longane</v>
      </c>
      <c r="H799" s="8" t="str">
        <f>IFERROR(__xludf.DUMMYFUNCTION("""COMPUTED_VALUE"""),"seed")</f>
        <v>seed</v>
      </c>
      <c r="I799" s="8"/>
      <c r="J799" s="8"/>
      <c r="K799" s="8"/>
      <c r="L799" s="8">
        <f>IFERROR(__xludf.DUMMYFUNCTION("""COMPUTED_VALUE"""),1.0)</f>
        <v>1</v>
      </c>
      <c r="M799" s="8">
        <f>IFERROR(__xludf.DUMMYFUNCTION("""COMPUTED_VALUE"""),0.0)</f>
        <v>0</v>
      </c>
      <c r="N799" s="8">
        <f>IFERROR(__xludf.DUMMYFUNCTION("""COMPUTED_VALUE"""),15.0)</f>
        <v>15</v>
      </c>
      <c r="O799" s="8"/>
      <c r="P799" s="8"/>
      <c r="Q799" s="8"/>
      <c r="R799" s="8"/>
      <c r="S799" s="8"/>
      <c r="T799" s="8"/>
      <c r="U799" s="8"/>
      <c r="V799" s="8"/>
      <c r="W799" s="8"/>
      <c r="X799" s="8"/>
      <c r="Y799" s="8"/>
      <c r="Z799" s="8"/>
    </row>
    <row r="800">
      <c r="A800" s="8">
        <f>IFERROR(__xludf.DUMMYFUNCTION("""COMPUTED_VALUE"""),1210.0)</f>
        <v>1210</v>
      </c>
      <c r="B800" s="8" t="str">
        <f>IFERROR(__xludf.DUMMYFUNCTION("""COMPUTED_VALUE"""),"tree")</f>
        <v>tree</v>
      </c>
      <c r="C800" s="8" t="str">
        <f>IFERROR(__xludf.DUMMYFUNCTION("""COMPUTED_VALUE"""),"air_layer")</f>
        <v>air_layer</v>
      </c>
      <c r="D800" s="55" t="str">
        <f>IFERROR(__xludf.DUMMYFUNCTION("""COMPUTED_VALUE"""),"Dimocarpus longan")</f>
        <v>Dimocarpus longan</v>
      </c>
      <c r="E800" s="8" t="str">
        <f>IFERROR(__xludf.DUMMYFUNCTION("""COMPUTED_VALUE"""),"Red")</f>
        <v>Red</v>
      </c>
      <c r="F800" s="8" t="str">
        <f>IFERROR(__xludf.DUMMYFUNCTION("""COMPUTED_VALUE"""),"Longan")</f>
        <v>Longan</v>
      </c>
      <c r="G800" s="8" t="str">
        <f>IFERROR(__xludf.DUMMYFUNCTION("""COMPUTED_VALUE"""),"Longane")</f>
        <v>Longane</v>
      </c>
      <c r="H800" s="8" t="str">
        <f>IFERROR(__xludf.DUMMYFUNCTION("""COMPUTED_VALUE"""),"seed")</f>
        <v>seed</v>
      </c>
      <c r="I800" s="8"/>
      <c r="J800" s="8"/>
      <c r="K800" s="8"/>
      <c r="L800" s="8">
        <f>IFERROR(__xludf.DUMMYFUNCTION("""COMPUTED_VALUE"""),1.0)</f>
        <v>1</v>
      </c>
      <c r="M800" s="8">
        <f>IFERROR(__xludf.DUMMYFUNCTION("""COMPUTED_VALUE"""),0.0)</f>
        <v>0</v>
      </c>
      <c r="N800" s="8">
        <f>IFERROR(__xludf.DUMMYFUNCTION("""COMPUTED_VALUE"""),15.0)</f>
        <v>15</v>
      </c>
      <c r="O800" s="8"/>
      <c r="P800" s="8"/>
      <c r="Q800" s="8"/>
      <c r="R800" s="8"/>
      <c r="S800" s="8"/>
      <c r="T800" s="8"/>
      <c r="U800" s="8"/>
      <c r="V800" s="8"/>
      <c r="W800" s="8"/>
      <c r="X800" s="8"/>
      <c r="Y800" s="8"/>
      <c r="Z800" s="8"/>
    </row>
    <row r="801">
      <c r="A801" s="8">
        <f>IFERROR(__xludf.DUMMYFUNCTION("""COMPUTED_VALUE"""),1211.0)</f>
        <v>1211</v>
      </c>
      <c r="B801" s="8" t="str">
        <f>IFERROR(__xludf.DUMMYFUNCTION("""COMPUTED_VALUE"""),"tree")</f>
        <v>tree</v>
      </c>
      <c r="C801" s="8" t="str">
        <f>IFERROR(__xludf.DUMMYFUNCTION("""COMPUTED_VALUE"""),"air_layer")</f>
        <v>air_layer</v>
      </c>
      <c r="D801" s="55" t="str">
        <f>IFERROR(__xludf.DUMMYFUNCTION("""COMPUTED_VALUE"""),"Dimocarpus longan")</f>
        <v>Dimocarpus longan</v>
      </c>
      <c r="E801" s="8" t="str">
        <f>IFERROR(__xludf.DUMMYFUNCTION("""COMPUTED_VALUE"""),"Red")</f>
        <v>Red</v>
      </c>
      <c r="F801" s="8" t="str">
        <f>IFERROR(__xludf.DUMMYFUNCTION("""COMPUTED_VALUE"""),"Longan")</f>
        <v>Longan</v>
      </c>
      <c r="G801" s="8" t="str">
        <f>IFERROR(__xludf.DUMMYFUNCTION("""COMPUTED_VALUE"""),"Longane")</f>
        <v>Longane</v>
      </c>
      <c r="H801" s="8" t="str">
        <f>IFERROR(__xludf.DUMMYFUNCTION("""COMPUTED_VALUE"""),"seed")</f>
        <v>seed</v>
      </c>
      <c r="I801" s="8"/>
      <c r="J801" s="8"/>
      <c r="K801" s="8"/>
      <c r="L801" s="8">
        <f>IFERROR(__xludf.DUMMYFUNCTION("""COMPUTED_VALUE"""),1.0)</f>
        <v>1</v>
      </c>
      <c r="M801" s="8">
        <f>IFERROR(__xludf.DUMMYFUNCTION("""COMPUTED_VALUE"""),0.0)</f>
        <v>0</v>
      </c>
      <c r="N801" s="8">
        <f>IFERROR(__xludf.DUMMYFUNCTION("""COMPUTED_VALUE"""),15.0)</f>
        <v>15</v>
      </c>
      <c r="O801" s="8"/>
      <c r="P801" s="8"/>
      <c r="Q801" s="8"/>
      <c r="R801" s="8"/>
      <c r="S801" s="8"/>
      <c r="T801" s="8"/>
      <c r="U801" s="8"/>
      <c r="V801" s="8"/>
      <c r="W801" s="8"/>
      <c r="X801" s="8"/>
      <c r="Y801" s="8"/>
      <c r="Z801" s="8"/>
    </row>
    <row r="802">
      <c r="A802" s="8">
        <f>IFERROR(__xludf.DUMMYFUNCTION("""COMPUTED_VALUE"""),1212.0)</f>
        <v>1212</v>
      </c>
      <c r="B802" s="8" t="str">
        <f>IFERROR(__xludf.DUMMYFUNCTION("""COMPUTED_VALUE"""),"tree")</f>
        <v>tree</v>
      </c>
      <c r="C802" s="8" t="str">
        <f>IFERROR(__xludf.DUMMYFUNCTION("""COMPUTED_VALUE"""),"air_layer")</f>
        <v>air_layer</v>
      </c>
      <c r="D802" s="55" t="str">
        <f>IFERROR(__xludf.DUMMYFUNCTION("""COMPUTED_VALUE"""),"Dimocarpus longan")</f>
        <v>Dimocarpus longan</v>
      </c>
      <c r="E802" s="8" t="str">
        <f>IFERROR(__xludf.DUMMYFUNCTION("""COMPUTED_VALUE"""),"Red")</f>
        <v>Red</v>
      </c>
      <c r="F802" s="8" t="str">
        <f>IFERROR(__xludf.DUMMYFUNCTION("""COMPUTED_VALUE"""),"Longan")</f>
        <v>Longan</v>
      </c>
      <c r="G802" s="8" t="str">
        <f>IFERROR(__xludf.DUMMYFUNCTION("""COMPUTED_VALUE"""),"Longane")</f>
        <v>Longane</v>
      </c>
      <c r="H802" s="8" t="str">
        <f>IFERROR(__xludf.DUMMYFUNCTION("""COMPUTED_VALUE"""),"seed")</f>
        <v>seed</v>
      </c>
      <c r="I802" s="8"/>
      <c r="J802" s="8"/>
      <c r="K802" s="8"/>
      <c r="L802" s="8">
        <f>IFERROR(__xludf.DUMMYFUNCTION("""COMPUTED_VALUE"""),1.0)</f>
        <v>1</v>
      </c>
      <c r="M802" s="8">
        <f>IFERROR(__xludf.DUMMYFUNCTION("""COMPUTED_VALUE"""),0.0)</f>
        <v>0</v>
      </c>
      <c r="N802" s="8">
        <f>IFERROR(__xludf.DUMMYFUNCTION("""COMPUTED_VALUE"""),15.0)</f>
        <v>15</v>
      </c>
      <c r="O802" s="8"/>
      <c r="P802" s="8"/>
      <c r="Q802" s="8"/>
      <c r="R802" s="8"/>
      <c r="S802" s="8"/>
      <c r="T802" s="8"/>
      <c r="U802" s="8"/>
      <c r="V802" s="8"/>
      <c r="W802" s="8"/>
      <c r="X802" s="8"/>
      <c r="Y802" s="8"/>
      <c r="Z802" s="8"/>
    </row>
    <row r="803">
      <c r="A803" s="8">
        <f>IFERROR(__xludf.DUMMYFUNCTION("""COMPUTED_VALUE"""),1213.0)</f>
        <v>1213</v>
      </c>
      <c r="B803" s="8" t="str">
        <f>IFERROR(__xludf.DUMMYFUNCTION("""COMPUTED_VALUE"""),"tree")</f>
        <v>tree</v>
      </c>
      <c r="C803" s="8" t="str">
        <f>IFERROR(__xludf.DUMMYFUNCTION("""COMPUTED_VALUE"""),"air_layer")</f>
        <v>air_layer</v>
      </c>
      <c r="D803" s="55" t="str">
        <f>IFERROR(__xludf.DUMMYFUNCTION("""COMPUTED_VALUE"""),"Dimocarpus longan")</f>
        <v>Dimocarpus longan</v>
      </c>
      <c r="E803" s="8" t="str">
        <f>IFERROR(__xludf.DUMMYFUNCTION("""COMPUTED_VALUE"""),"Red")</f>
        <v>Red</v>
      </c>
      <c r="F803" s="8" t="str">
        <f>IFERROR(__xludf.DUMMYFUNCTION("""COMPUTED_VALUE"""),"Longan")</f>
        <v>Longan</v>
      </c>
      <c r="G803" s="8" t="str">
        <f>IFERROR(__xludf.DUMMYFUNCTION("""COMPUTED_VALUE"""),"Longane")</f>
        <v>Longane</v>
      </c>
      <c r="H803" s="8" t="str">
        <f>IFERROR(__xludf.DUMMYFUNCTION("""COMPUTED_VALUE"""),"seed")</f>
        <v>seed</v>
      </c>
      <c r="I803" s="8"/>
      <c r="J803" s="8"/>
      <c r="K803" s="8"/>
      <c r="L803" s="8">
        <f>IFERROR(__xludf.DUMMYFUNCTION("""COMPUTED_VALUE"""),1.0)</f>
        <v>1</v>
      </c>
      <c r="M803" s="8">
        <f>IFERROR(__xludf.DUMMYFUNCTION("""COMPUTED_VALUE"""),0.0)</f>
        <v>0</v>
      </c>
      <c r="N803" s="8">
        <f>IFERROR(__xludf.DUMMYFUNCTION("""COMPUTED_VALUE"""),15.0)</f>
        <v>15</v>
      </c>
      <c r="O803" s="8"/>
      <c r="P803" s="8"/>
      <c r="Q803" s="8"/>
      <c r="R803" s="8"/>
      <c r="S803" s="8"/>
      <c r="T803" s="8"/>
      <c r="U803" s="8"/>
      <c r="V803" s="8"/>
      <c r="W803" s="8"/>
      <c r="X803" s="8"/>
      <c r="Y803" s="8"/>
      <c r="Z803" s="8"/>
    </row>
    <row r="804">
      <c r="A804" s="8">
        <f>IFERROR(__xludf.DUMMYFUNCTION("""COMPUTED_VALUE"""),1214.0)</f>
        <v>1214</v>
      </c>
      <c r="B804" s="8" t="str">
        <f>IFERROR(__xludf.DUMMYFUNCTION("""COMPUTED_VALUE"""),"tree")</f>
        <v>tree</v>
      </c>
      <c r="C804" s="8" t="str">
        <f>IFERROR(__xludf.DUMMYFUNCTION("""COMPUTED_VALUE"""),"graft")</f>
        <v>graft</v>
      </c>
      <c r="D804" s="55" t="str">
        <f>IFERROR(__xludf.DUMMYFUNCTION("""COMPUTED_VALUE"""),"Mangifera casturi")</f>
        <v>Mangifera casturi</v>
      </c>
      <c r="E804" s="8" t="str">
        <f>IFERROR(__xludf.DUMMYFUNCTION("""COMPUTED_VALUE"""),"Seedling")</f>
        <v>Seedling</v>
      </c>
      <c r="F804" s="8" t="str">
        <f>IFERROR(__xludf.DUMMYFUNCTION("""COMPUTED_VALUE"""),"Casturi Mango")</f>
        <v>Casturi Mango</v>
      </c>
      <c r="G804" s="8" t="str">
        <f>IFERROR(__xludf.DUMMYFUNCTION("""COMPUTED_VALUE"""),"Mangue Casturi")</f>
        <v>Mangue Casturi</v>
      </c>
      <c r="H804" s="8" t="str">
        <f>IFERROR(__xludf.DUMMYFUNCTION("""COMPUTED_VALUE"""),"seed")</f>
        <v>seed</v>
      </c>
      <c r="I804" s="8"/>
      <c r="J804" s="8"/>
      <c r="K804" s="8"/>
      <c r="L804" s="8">
        <f>IFERROR(__xludf.DUMMYFUNCTION("""COMPUTED_VALUE"""),1.0)</f>
        <v>1</v>
      </c>
      <c r="M804" s="8">
        <f>IFERROR(__xludf.DUMMYFUNCTION("""COMPUTED_VALUE"""),0.0)</f>
        <v>0</v>
      </c>
      <c r="N804" s="8">
        <f>IFERROR(__xludf.DUMMYFUNCTION("""COMPUTED_VALUE"""),7.0)</f>
        <v>7</v>
      </c>
      <c r="O804" s="8"/>
      <c r="P804" s="8"/>
      <c r="Q804" s="8"/>
      <c r="R804" s="8"/>
      <c r="S804" s="8"/>
      <c r="T804" s="8"/>
      <c r="U804" s="8"/>
      <c r="V804" s="8"/>
      <c r="W804" s="8"/>
      <c r="X804" s="8"/>
      <c r="Y804" s="8"/>
      <c r="Z804" s="8"/>
    </row>
    <row r="805">
      <c r="A805" s="8">
        <f>IFERROR(__xludf.DUMMYFUNCTION("""COMPUTED_VALUE"""),1215.0)</f>
        <v>1215</v>
      </c>
      <c r="B805" s="8" t="str">
        <f>IFERROR(__xludf.DUMMYFUNCTION("""COMPUTED_VALUE"""),"tree")</f>
        <v>tree</v>
      </c>
      <c r="C805" s="8" t="str">
        <f>IFERROR(__xludf.DUMMYFUNCTION("""COMPUTED_VALUE"""),"graft")</f>
        <v>graft</v>
      </c>
      <c r="D805" s="55" t="str">
        <f>IFERROR(__xludf.DUMMYFUNCTION("""COMPUTED_VALUE"""),"Mangifera casturi")</f>
        <v>Mangifera casturi</v>
      </c>
      <c r="E805" s="8" t="str">
        <f>IFERROR(__xludf.DUMMYFUNCTION("""COMPUTED_VALUE"""),"Seedling")</f>
        <v>Seedling</v>
      </c>
      <c r="F805" s="8" t="str">
        <f>IFERROR(__xludf.DUMMYFUNCTION("""COMPUTED_VALUE"""),"Casturi Mango")</f>
        <v>Casturi Mango</v>
      </c>
      <c r="G805" s="8" t="str">
        <f>IFERROR(__xludf.DUMMYFUNCTION("""COMPUTED_VALUE"""),"Mangue Casturi")</f>
        <v>Mangue Casturi</v>
      </c>
      <c r="H805" s="8" t="str">
        <f>IFERROR(__xludf.DUMMYFUNCTION("""COMPUTED_VALUE"""),"seed")</f>
        <v>seed</v>
      </c>
      <c r="I805" s="8"/>
      <c r="J805" s="8"/>
      <c r="K805" s="8"/>
      <c r="L805" s="8">
        <f>IFERROR(__xludf.DUMMYFUNCTION("""COMPUTED_VALUE"""),1.0)</f>
        <v>1</v>
      </c>
      <c r="M805" s="8">
        <f>IFERROR(__xludf.DUMMYFUNCTION("""COMPUTED_VALUE"""),0.0)</f>
        <v>0</v>
      </c>
      <c r="N805" s="8">
        <f>IFERROR(__xludf.DUMMYFUNCTION("""COMPUTED_VALUE"""),7.0)</f>
        <v>7</v>
      </c>
      <c r="O805" s="8"/>
      <c r="P805" s="8"/>
      <c r="Q805" s="8"/>
      <c r="R805" s="8"/>
      <c r="S805" s="8"/>
      <c r="T805" s="8"/>
      <c r="U805" s="8"/>
      <c r="V805" s="8"/>
      <c r="W805" s="8"/>
      <c r="X805" s="8"/>
      <c r="Y805" s="8"/>
      <c r="Z805" s="8"/>
    </row>
    <row r="806">
      <c r="A806" s="8">
        <f>IFERROR(__xludf.DUMMYFUNCTION("""COMPUTED_VALUE"""),1216.0)</f>
        <v>1216</v>
      </c>
      <c r="B806" s="8" t="str">
        <f>IFERROR(__xludf.DUMMYFUNCTION("""COMPUTED_VALUE"""),"tree")</f>
        <v>tree</v>
      </c>
      <c r="C806" s="8" t="str">
        <f>IFERROR(__xludf.DUMMYFUNCTION("""COMPUTED_VALUE"""),"graft")</f>
        <v>graft</v>
      </c>
      <c r="D806" s="55" t="str">
        <f>IFERROR(__xludf.DUMMYFUNCTION("""COMPUTED_VALUE"""),"Mangifera casturi")</f>
        <v>Mangifera casturi</v>
      </c>
      <c r="E806" s="8" t="str">
        <f>IFERROR(__xludf.DUMMYFUNCTION("""COMPUTED_VALUE"""),"Seedling")</f>
        <v>Seedling</v>
      </c>
      <c r="F806" s="8" t="str">
        <f>IFERROR(__xludf.DUMMYFUNCTION("""COMPUTED_VALUE"""),"Casturi Mango")</f>
        <v>Casturi Mango</v>
      </c>
      <c r="G806" s="8" t="str">
        <f>IFERROR(__xludf.DUMMYFUNCTION("""COMPUTED_VALUE"""),"Mangue Casturi")</f>
        <v>Mangue Casturi</v>
      </c>
      <c r="H806" s="8" t="str">
        <f>IFERROR(__xludf.DUMMYFUNCTION("""COMPUTED_VALUE"""),"seed")</f>
        <v>seed</v>
      </c>
      <c r="I806" s="8"/>
      <c r="J806" s="8"/>
      <c r="K806" s="8"/>
      <c r="L806" s="8">
        <f>IFERROR(__xludf.DUMMYFUNCTION("""COMPUTED_VALUE"""),1.0)</f>
        <v>1</v>
      </c>
      <c r="M806" s="8">
        <f>IFERROR(__xludf.DUMMYFUNCTION("""COMPUTED_VALUE"""),0.0)</f>
        <v>0</v>
      </c>
      <c r="N806" s="8">
        <f>IFERROR(__xludf.DUMMYFUNCTION("""COMPUTED_VALUE"""),7.0)</f>
        <v>7</v>
      </c>
      <c r="O806" s="8"/>
      <c r="P806" s="8"/>
      <c r="Q806" s="8"/>
      <c r="R806" s="8"/>
      <c r="S806" s="8"/>
      <c r="T806" s="8"/>
      <c r="U806" s="8"/>
      <c r="V806" s="8"/>
      <c r="W806" s="8"/>
      <c r="X806" s="8"/>
      <c r="Y806" s="8"/>
      <c r="Z806" s="8"/>
    </row>
    <row r="807">
      <c r="A807" s="8">
        <f>IFERROR(__xludf.DUMMYFUNCTION("""COMPUTED_VALUE"""),1217.0)</f>
        <v>1217</v>
      </c>
      <c r="B807" s="8" t="str">
        <f>IFERROR(__xludf.DUMMYFUNCTION("""COMPUTED_VALUE"""),"tree")</f>
        <v>tree</v>
      </c>
      <c r="C807" s="8" t="str">
        <f>IFERROR(__xludf.DUMMYFUNCTION("""COMPUTED_VALUE"""),"graft")</f>
        <v>graft</v>
      </c>
      <c r="D807" s="55" t="str">
        <f>IFERROR(__xludf.DUMMYFUNCTION("""COMPUTED_VALUE"""),"Mangifera casturi")</f>
        <v>Mangifera casturi</v>
      </c>
      <c r="E807" s="8" t="str">
        <f>IFERROR(__xludf.DUMMYFUNCTION("""COMPUTED_VALUE"""),"Seedling")</f>
        <v>Seedling</v>
      </c>
      <c r="F807" s="8" t="str">
        <f>IFERROR(__xludf.DUMMYFUNCTION("""COMPUTED_VALUE"""),"Casturi Mango")</f>
        <v>Casturi Mango</v>
      </c>
      <c r="G807" s="8" t="str">
        <f>IFERROR(__xludf.DUMMYFUNCTION("""COMPUTED_VALUE"""),"Mangue Casturi")</f>
        <v>Mangue Casturi</v>
      </c>
      <c r="H807" s="8" t="str">
        <f>IFERROR(__xludf.DUMMYFUNCTION("""COMPUTED_VALUE"""),"seed")</f>
        <v>seed</v>
      </c>
      <c r="I807" s="8"/>
      <c r="J807" s="8"/>
      <c r="K807" s="8"/>
      <c r="L807" s="8">
        <f>IFERROR(__xludf.DUMMYFUNCTION("""COMPUTED_VALUE"""),1.0)</f>
        <v>1</v>
      </c>
      <c r="M807" s="8">
        <f>IFERROR(__xludf.DUMMYFUNCTION("""COMPUTED_VALUE"""),0.0)</f>
        <v>0</v>
      </c>
      <c r="N807" s="8">
        <f>IFERROR(__xludf.DUMMYFUNCTION("""COMPUTED_VALUE"""),7.0)</f>
        <v>7</v>
      </c>
      <c r="O807" s="8"/>
      <c r="P807" s="8"/>
      <c r="Q807" s="8"/>
      <c r="R807" s="8"/>
      <c r="S807" s="8"/>
      <c r="T807" s="8"/>
      <c r="U807" s="8"/>
      <c r="V807" s="8"/>
      <c r="W807" s="8"/>
      <c r="X807" s="8"/>
      <c r="Y807" s="8"/>
      <c r="Z807" s="8"/>
    </row>
    <row r="808">
      <c r="A808" s="8">
        <f>IFERROR(__xludf.DUMMYFUNCTION("""COMPUTED_VALUE"""),1218.0)</f>
        <v>1218</v>
      </c>
      <c r="B808" s="8" t="str">
        <f>IFERROR(__xludf.DUMMYFUNCTION("""COMPUTED_VALUE"""),"tree")</f>
        <v>tree</v>
      </c>
      <c r="C808" s="8" t="str">
        <f>IFERROR(__xludf.DUMMYFUNCTION("""COMPUTED_VALUE"""),"graft")</f>
        <v>graft</v>
      </c>
      <c r="D808" s="55" t="str">
        <f>IFERROR(__xludf.DUMMYFUNCTION("""COMPUTED_VALUE"""),"Mangifera casturi")</f>
        <v>Mangifera casturi</v>
      </c>
      <c r="E808" s="8" t="str">
        <f>IFERROR(__xludf.DUMMYFUNCTION("""COMPUTED_VALUE"""),"Seedling")</f>
        <v>Seedling</v>
      </c>
      <c r="F808" s="8" t="str">
        <f>IFERROR(__xludf.DUMMYFUNCTION("""COMPUTED_VALUE"""),"Casturi Mango")</f>
        <v>Casturi Mango</v>
      </c>
      <c r="G808" s="8" t="str">
        <f>IFERROR(__xludf.DUMMYFUNCTION("""COMPUTED_VALUE"""),"Mangue Casturi")</f>
        <v>Mangue Casturi</v>
      </c>
      <c r="H808" s="8" t="str">
        <f>IFERROR(__xludf.DUMMYFUNCTION("""COMPUTED_VALUE"""),"seed")</f>
        <v>seed</v>
      </c>
      <c r="I808" s="8"/>
      <c r="J808" s="8"/>
      <c r="K808" s="8"/>
      <c r="L808" s="8">
        <f>IFERROR(__xludf.DUMMYFUNCTION("""COMPUTED_VALUE"""),1.0)</f>
        <v>1</v>
      </c>
      <c r="M808" s="8">
        <f>IFERROR(__xludf.DUMMYFUNCTION("""COMPUTED_VALUE"""),0.0)</f>
        <v>0</v>
      </c>
      <c r="N808" s="8">
        <f>IFERROR(__xludf.DUMMYFUNCTION("""COMPUTED_VALUE"""),7.0)</f>
        <v>7</v>
      </c>
      <c r="O808" s="8"/>
      <c r="P808" s="8"/>
      <c r="Q808" s="8"/>
      <c r="R808" s="8"/>
      <c r="S808" s="8"/>
      <c r="T808" s="8"/>
      <c r="U808" s="8"/>
      <c r="V808" s="8"/>
      <c r="W808" s="8"/>
      <c r="X808" s="8"/>
      <c r="Y808" s="8"/>
      <c r="Z808" s="8"/>
    </row>
    <row r="809">
      <c r="A809" s="8">
        <f>IFERROR(__xludf.DUMMYFUNCTION("""COMPUTED_VALUE"""),1219.0)</f>
        <v>1219</v>
      </c>
      <c r="B809" s="8" t="str">
        <f>IFERROR(__xludf.DUMMYFUNCTION("""COMPUTED_VALUE"""),"tree")</f>
        <v>tree</v>
      </c>
      <c r="C809" s="8" t="str">
        <f>IFERROR(__xludf.DUMMYFUNCTION("""COMPUTED_VALUE"""),"graft")</f>
        <v>graft</v>
      </c>
      <c r="D809" s="55" t="str">
        <f>IFERROR(__xludf.DUMMYFUNCTION("""COMPUTED_VALUE"""),"Mangifera casturi")</f>
        <v>Mangifera casturi</v>
      </c>
      <c r="E809" s="8" t="str">
        <f>IFERROR(__xludf.DUMMYFUNCTION("""COMPUTED_VALUE"""),"Seedling")</f>
        <v>Seedling</v>
      </c>
      <c r="F809" s="8" t="str">
        <f>IFERROR(__xludf.DUMMYFUNCTION("""COMPUTED_VALUE"""),"Casturi Mango")</f>
        <v>Casturi Mango</v>
      </c>
      <c r="G809" s="8" t="str">
        <f>IFERROR(__xludf.DUMMYFUNCTION("""COMPUTED_VALUE"""),"Mangue Casturi")</f>
        <v>Mangue Casturi</v>
      </c>
      <c r="H809" s="8" t="str">
        <f>IFERROR(__xludf.DUMMYFUNCTION("""COMPUTED_VALUE"""),"seed")</f>
        <v>seed</v>
      </c>
      <c r="I809" s="8"/>
      <c r="J809" s="8"/>
      <c r="K809" s="8"/>
      <c r="L809" s="8">
        <f>IFERROR(__xludf.DUMMYFUNCTION("""COMPUTED_VALUE"""),1.0)</f>
        <v>1</v>
      </c>
      <c r="M809" s="8">
        <f>IFERROR(__xludf.DUMMYFUNCTION("""COMPUTED_VALUE"""),0.0)</f>
        <v>0</v>
      </c>
      <c r="N809" s="8">
        <f>IFERROR(__xludf.DUMMYFUNCTION("""COMPUTED_VALUE"""),7.0)</f>
        <v>7</v>
      </c>
      <c r="O809" s="8"/>
      <c r="P809" s="8"/>
      <c r="Q809" s="8"/>
      <c r="R809" s="8"/>
      <c r="S809" s="8"/>
      <c r="T809" s="8"/>
      <c r="U809" s="8"/>
      <c r="V809" s="8"/>
      <c r="W809" s="8"/>
      <c r="X809" s="8"/>
      <c r="Y809" s="8"/>
      <c r="Z809" s="8"/>
    </row>
    <row r="810">
      <c r="A810" s="8">
        <f>IFERROR(__xludf.DUMMYFUNCTION("""COMPUTED_VALUE"""),1220.0)</f>
        <v>1220</v>
      </c>
      <c r="B810" s="8" t="str">
        <f>IFERROR(__xludf.DUMMYFUNCTION("""COMPUTED_VALUE"""),"tree")</f>
        <v>tree</v>
      </c>
      <c r="C810" s="8" t="str">
        <f>IFERROR(__xludf.DUMMYFUNCTION("""COMPUTED_VALUE"""),"graft")</f>
        <v>graft</v>
      </c>
      <c r="D810" s="55" t="str">
        <f>IFERROR(__xludf.DUMMYFUNCTION("""COMPUTED_VALUE"""),"Mangifera casturi")</f>
        <v>Mangifera casturi</v>
      </c>
      <c r="E810" s="8" t="str">
        <f>IFERROR(__xludf.DUMMYFUNCTION("""COMPUTED_VALUE"""),"Seedling")</f>
        <v>Seedling</v>
      </c>
      <c r="F810" s="8" t="str">
        <f>IFERROR(__xludf.DUMMYFUNCTION("""COMPUTED_VALUE"""),"Casturi Mango")</f>
        <v>Casturi Mango</v>
      </c>
      <c r="G810" s="8" t="str">
        <f>IFERROR(__xludf.DUMMYFUNCTION("""COMPUTED_VALUE"""),"Mangue Casturi")</f>
        <v>Mangue Casturi</v>
      </c>
      <c r="H810" s="8" t="str">
        <f>IFERROR(__xludf.DUMMYFUNCTION("""COMPUTED_VALUE"""),"seed")</f>
        <v>seed</v>
      </c>
      <c r="I810" s="8"/>
      <c r="J810" s="8"/>
      <c r="K810" s="8"/>
      <c r="L810" s="8">
        <f>IFERROR(__xludf.DUMMYFUNCTION("""COMPUTED_VALUE"""),1.0)</f>
        <v>1</v>
      </c>
      <c r="M810" s="8">
        <f>IFERROR(__xludf.DUMMYFUNCTION("""COMPUTED_VALUE"""),0.0)</f>
        <v>0</v>
      </c>
      <c r="N810" s="8">
        <f>IFERROR(__xludf.DUMMYFUNCTION("""COMPUTED_VALUE"""),7.0)</f>
        <v>7</v>
      </c>
      <c r="O810" s="8"/>
      <c r="P810" s="8"/>
      <c r="Q810" s="8"/>
      <c r="R810" s="8"/>
      <c r="S810" s="8"/>
      <c r="T810" s="8"/>
      <c r="U810" s="8"/>
      <c r="V810" s="8"/>
      <c r="W810" s="8"/>
      <c r="X810" s="8"/>
      <c r="Y810" s="8"/>
      <c r="Z810" s="8"/>
    </row>
    <row r="811">
      <c r="A811" s="8">
        <f>IFERROR(__xludf.DUMMYFUNCTION("""COMPUTED_VALUE"""),1221.0)</f>
        <v>1221</v>
      </c>
      <c r="B811" s="8" t="str">
        <f>IFERROR(__xludf.DUMMYFUNCTION("""COMPUTED_VALUE"""),"tree")</f>
        <v>tree</v>
      </c>
      <c r="C811" s="8" t="str">
        <f>IFERROR(__xludf.DUMMYFUNCTION("""COMPUTED_VALUE"""),"graft")</f>
        <v>graft</v>
      </c>
      <c r="D811" s="55" t="str">
        <f>IFERROR(__xludf.DUMMYFUNCTION("""COMPUTED_VALUE"""),"Mangifera indica")</f>
        <v>Mangifera indica</v>
      </c>
      <c r="E811" s="8" t="str">
        <f>IFERROR(__xludf.DUMMYFUNCTION("""COMPUTED_VALUE"""),"Red")</f>
        <v>Red</v>
      </c>
      <c r="F811" s="8" t="str">
        <f>IFERROR(__xludf.DUMMYFUNCTION("""COMPUTED_VALUE"""),"Mango")</f>
        <v>Mango</v>
      </c>
      <c r="G811" s="8" t="str">
        <f>IFERROR(__xludf.DUMMYFUNCTION("""COMPUTED_VALUE"""),"mangue")</f>
        <v>mangue</v>
      </c>
      <c r="H811" s="8" t="str">
        <f>IFERROR(__xludf.DUMMYFUNCTION("""COMPUTED_VALUE"""),"seed")</f>
        <v>seed</v>
      </c>
      <c r="I811" s="8"/>
      <c r="J811" s="8"/>
      <c r="K811" s="8"/>
      <c r="L811" s="8">
        <f>IFERROR(__xludf.DUMMYFUNCTION("""COMPUTED_VALUE"""),1.0)</f>
        <v>1</v>
      </c>
      <c r="M811" s="8">
        <f>IFERROR(__xludf.DUMMYFUNCTION("""COMPUTED_VALUE"""),0.0)</f>
        <v>0</v>
      </c>
      <c r="N811" s="8">
        <f>IFERROR(__xludf.DUMMYFUNCTION("""COMPUTED_VALUE"""),3.0)</f>
        <v>3</v>
      </c>
      <c r="O811" s="8"/>
      <c r="P811" s="8"/>
      <c r="Q811" s="8"/>
      <c r="R811" s="8"/>
      <c r="S811" s="8"/>
      <c r="T811" s="8"/>
      <c r="U811" s="8"/>
      <c r="V811" s="8"/>
      <c r="W811" s="8"/>
      <c r="X811" s="8"/>
      <c r="Y811" s="8"/>
      <c r="Z811" s="8"/>
    </row>
    <row r="812">
      <c r="A812" s="8">
        <f>IFERROR(__xludf.DUMMYFUNCTION("""COMPUTED_VALUE"""),1222.0)</f>
        <v>1222</v>
      </c>
      <c r="B812" s="8" t="str">
        <f>IFERROR(__xludf.DUMMYFUNCTION("""COMPUTED_VALUE"""),"tree")</f>
        <v>tree</v>
      </c>
      <c r="C812" s="8" t="str">
        <f>IFERROR(__xludf.DUMMYFUNCTION("""COMPUTED_VALUE"""),"graft")</f>
        <v>graft</v>
      </c>
      <c r="D812" s="55" t="str">
        <f>IFERROR(__xludf.DUMMYFUNCTION("""COMPUTED_VALUE"""),"Mangifera indica")</f>
        <v>Mangifera indica</v>
      </c>
      <c r="E812" s="8" t="str">
        <f>IFERROR(__xludf.DUMMYFUNCTION("""COMPUTED_VALUE"""),"Red")</f>
        <v>Red</v>
      </c>
      <c r="F812" s="8" t="str">
        <f>IFERROR(__xludf.DUMMYFUNCTION("""COMPUTED_VALUE"""),"Mango")</f>
        <v>Mango</v>
      </c>
      <c r="G812" s="8" t="str">
        <f>IFERROR(__xludf.DUMMYFUNCTION("""COMPUTED_VALUE"""),"mangue")</f>
        <v>mangue</v>
      </c>
      <c r="H812" s="8" t="str">
        <f>IFERROR(__xludf.DUMMYFUNCTION("""COMPUTED_VALUE"""),"seed")</f>
        <v>seed</v>
      </c>
      <c r="I812" s="8"/>
      <c r="J812" s="8"/>
      <c r="K812" s="8"/>
      <c r="L812" s="8">
        <f>IFERROR(__xludf.DUMMYFUNCTION("""COMPUTED_VALUE"""),1.0)</f>
        <v>1</v>
      </c>
      <c r="M812" s="8">
        <f>IFERROR(__xludf.DUMMYFUNCTION("""COMPUTED_VALUE"""),0.0)</f>
        <v>0</v>
      </c>
      <c r="N812" s="8">
        <f>IFERROR(__xludf.DUMMYFUNCTION("""COMPUTED_VALUE"""),3.0)</f>
        <v>3</v>
      </c>
      <c r="O812" s="8"/>
      <c r="P812" s="8"/>
      <c r="Q812" s="8"/>
      <c r="R812" s="8"/>
      <c r="S812" s="8"/>
      <c r="T812" s="8"/>
      <c r="U812" s="8"/>
      <c r="V812" s="8"/>
      <c r="W812" s="8"/>
      <c r="X812" s="8"/>
      <c r="Y812" s="8"/>
      <c r="Z812" s="8"/>
    </row>
    <row r="813">
      <c r="A813" s="8">
        <f>IFERROR(__xludf.DUMMYFUNCTION("""COMPUTED_VALUE"""),1223.0)</f>
        <v>1223</v>
      </c>
      <c r="B813" s="8" t="str">
        <f>IFERROR(__xludf.DUMMYFUNCTION("""COMPUTED_VALUE"""),"tree")</f>
        <v>tree</v>
      </c>
      <c r="C813" s="8" t="str">
        <f>IFERROR(__xludf.DUMMYFUNCTION("""COMPUTED_VALUE"""),"graft")</f>
        <v>graft</v>
      </c>
      <c r="D813" s="55" t="str">
        <f>IFERROR(__xludf.DUMMYFUNCTION("""COMPUTED_VALUE"""),"Mangifera indica")</f>
        <v>Mangifera indica</v>
      </c>
      <c r="E813" s="8" t="str">
        <f>IFERROR(__xludf.DUMMYFUNCTION("""COMPUTED_VALUE"""),"Red")</f>
        <v>Red</v>
      </c>
      <c r="F813" s="8" t="str">
        <f>IFERROR(__xludf.DUMMYFUNCTION("""COMPUTED_VALUE"""),"Mango")</f>
        <v>Mango</v>
      </c>
      <c r="G813" s="8" t="str">
        <f>IFERROR(__xludf.DUMMYFUNCTION("""COMPUTED_VALUE"""),"mangue")</f>
        <v>mangue</v>
      </c>
      <c r="H813" s="8" t="str">
        <f>IFERROR(__xludf.DUMMYFUNCTION("""COMPUTED_VALUE"""),"seed")</f>
        <v>seed</v>
      </c>
      <c r="I813" s="8"/>
      <c r="J813" s="8"/>
      <c r="K813" s="8"/>
      <c r="L813" s="8">
        <f>IFERROR(__xludf.DUMMYFUNCTION("""COMPUTED_VALUE"""),1.0)</f>
        <v>1</v>
      </c>
      <c r="M813" s="8">
        <f>IFERROR(__xludf.DUMMYFUNCTION("""COMPUTED_VALUE"""),0.0)</f>
        <v>0</v>
      </c>
      <c r="N813" s="8">
        <f>IFERROR(__xludf.DUMMYFUNCTION("""COMPUTED_VALUE"""),3.0)</f>
        <v>3</v>
      </c>
      <c r="O813" s="8"/>
      <c r="P813" s="8"/>
      <c r="Q813" s="8"/>
      <c r="R813" s="8"/>
      <c r="S813" s="8"/>
      <c r="T813" s="8"/>
      <c r="U813" s="8"/>
      <c r="V813" s="8"/>
      <c r="W813" s="8"/>
      <c r="X813" s="8"/>
      <c r="Y813" s="8"/>
      <c r="Z813" s="8"/>
    </row>
    <row r="814">
      <c r="A814" s="8">
        <f>IFERROR(__xludf.DUMMYFUNCTION("""COMPUTED_VALUE"""),1224.0)</f>
        <v>1224</v>
      </c>
      <c r="B814" s="8" t="str">
        <f>IFERROR(__xludf.DUMMYFUNCTION("""COMPUTED_VALUE"""),"tree")</f>
        <v>tree</v>
      </c>
      <c r="C814" s="8" t="str">
        <f>IFERROR(__xludf.DUMMYFUNCTION("""COMPUTED_VALUE"""),"graft")</f>
        <v>graft</v>
      </c>
      <c r="D814" s="55" t="str">
        <f>IFERROR(__xludf.DUMMYFUNCTION("""COMPUTED_VALUE"""),"Persea americana")</f>
        <v>Persea americana</v>
      </c>
      <c r="E814" s="8" t="str">
        <f>IFERROR(__xludf.DUMMYFUNCTION("""COMPUTED_VALUE"""),"Yellow")</f>
        <v>Yellow</v>
      </c>
      <c r="F814" s="8" t="str">
        <f>IFERROR(__xludf.DUMMYFUNCTION("""COMPUTED_VALUE"""),"Avocado")</f>
        <v>Avocado</v>
      </c>
      <c r="G814" s="8" t="str">
        <f>IFERROR(__xludf.DUMMYFUNCTION("""COMPUTED_VALUE"""),"Avocat")</f>
        <v>Avocat</v>
      </c>
      <c r="H814" s="8" t="str">
        <f>IFERROR(__xludf.DUMMYFUNCTION("""COMPUTED_VALUE"""),"seed")</f>
        <v>seed</v>
      </c>
      <c r="I814" s="8"/>
      <c r="J814" s="8"/>
      <c r="K814" s="8"/>
      <c r="L814" s="8">
        <f>IFERROR(__xludf.DUMMYFUNCTION("""COMPUTED_VALUE"""),1.0)</f>
        <v>1</v>
      </c>
      <c r="M814" s="8">
        <f>IFERROR(__xludf.DUMMYFUNCTION("""COMPUTED_VALUE"""),0.0)</f>
        <v>0</v>
      </c>
      <c r="N814" s="8">
        <f>IFERROR(__xludf.DUMMYFUNCTION("""COMPUTED_VALUE"""),3.0)</f>
        <v>3</v>
      </c>
      <c r="O814" s="8"/>
      <c r="P814" s="8"/>
      <c r="Q814" s="8"/>
      <c r="R814" s="8"/>
      <c r="S814" s="8"/>
      <c r="T814" s="8"/>
      <c r="U814" s="8"/>
      <c r="V814" s="8"/>
      <c r="W814" s="8"/>
      <c r="X814" s="8"/>
      <c r="Y814" s="8"/>
      <c r="Z814" s="8"/>
    </row>
    <row r="815">
      <c r="A815" s="8">
        <f>IFERROR(__xludf.DUMMYFUNCTION("""COMPUTED_VALUE"""),1225.0)</f>
        <v>1225</v>
      </c>
      <c r="B815" s="8" t="str">
        <f>IFERROR(__xludf.DUMMYFUNCTION("""COMPUTED_VALUE"""),"tree")</f>
        <v>tree</v>
      </c>
      <c r="C815" s="8" t="str">
        <f>IFERROR(__xludf.DUMMYFUNCTION("""COMPUTED_VALUE"""),"graft")</f>
        <v>graft</v>
      </c>
      <c r="D815" s="55" t="str">
        <f>IFERROR(__xludf.DUMMYFUNCTION("""COMPUTED_VALUE"""),"Persea americana")</f>
        <v>Persea americana</v>
      </c>
      <c r="E815" s="8" t="str">
        <f>IFERROR(__xludf.DUMMYFUNCTION("""COMPUTED_VALUE"""),"Yellow")</f>
        <v>Yellow</v>
      </c>
      <c r="F815" s="8" t="str">
        <f>IFERROR(__xludf.DUMMYFUNCTION("""COMPUTED_VALUE"""),"Avocado")</f>
        <v>Avocado</v>
      </c>
      <c r="G815" s="8" t="str">
        <f>IFERROR(__xludf.DUMMYFUNCTION("""COMPUTED_VALUE"""),"Avocat")</f>
        <v>Avocat</v>
      </c>
      <c r="H815" s="8" t="str">
        <f>IFERROR(__xludf.DUMMYFUNCTION("""COMPUTED_VALUE"""),"seed")</f>
        <v>seed</v>
      </c>
      <c r="I815" s="8"/>
      <c r="J815" s="8"/>
      <c r="K815" s="8"/>
      <c r="L815" s="8">
        <f>IFERROR(__xludf.DUMMYFUNCTION("""COMPUTED_VALUE"""),1.0)</f>
        <v>1</v>
      </c>
      <c r="M815" s="8">
        <f>IFERROR(__xludf.DUMMYFUNCTION("""COMPUTED_VALUE"""),0.0)</f>
        <v>0</v>
      </c>
      <c r="N815" s="8">
        <f>IFERROR(__xludf.DUMMYFUNCTION("""COMPUTED_VALUE"""),3.0)</f>
        <v>3</v>
      </c>
      <c r="O815" s="8"/>
      <c r="P815" s="8"/>
      <c r="Q815" s="8"/>
      <c r="R815" s="8"/>
      <c r="S815" s="8"/>
      <c r="T815" s="8"/>
      <c r="U815" s="8"/>
      <c r="V815" s="8"/>
      <c r="W815" s="8"/>
      <c r="X815" s="8"/>
      <c r="Y815" s="8"/>
      <c r="Z815" s="8"/>
    </row>
    <row r="816">
      <c r="A816" s="8">
        <f>IFERROR(__xludf.DUMMYFUNCTION("""COMPUTED_VALUE"""),1226.0)</f>
        <v>1226</v>
      </c>
      <c r="B816" s="8" t="str">
        <f>IFERROR(__xludf.DUMMYFUNCTION("""COMPUTED_VALUE"""),"tree")</f>
        <v>tree</v>
      </c>
      <c r="C816" s="8" t="str">
        <f>IFERROR(__xludf.DUMMYFUNCTION("""COMPUTED_VALUE"""),"graft")</f>
        <v>graft</v>
      </c>
      <c r="D816" s="55" t="str">
        <f>IFERROR(__xludf.DUMMYFUNCTION("""COMPUTED_VALUE"""),"Persea americana")</f>
        <v>Persea americana</v>
      </c>
      <c r="E816" s="8" t="str">
        <f>IFERROR(__xludf.DUMMYFUNCTION("""COMPUTED_VALUE"""),"Yellow")</f>
        <v>Yellow</v>
      </c>
      <c r="F816" s="8" t="str">
        <f>IFERROR(__xludf.DUMMYFUNCTION("""COMPUTED_VALUE"""),"Avocado")</f>
        <v>Avocado</v>
      </c>
      <c r="G816" s="8" t="str">
        <f>IFERROR(__xludf.DUMMYFUNCTION("""COMPUTED_VALUE"""),"Avocat")</f>
        <v>Avocat</v>
      </c>
      <c r="H816" s="8" t="str">
        <f>IFERROR(__xludf.DUMMYFUNCTION("""COMPUTED_VALUE"""),"seed")</f>
        <v>seed</v>
      </c>
      <c r="I816" s="8"/>
      <c r="J816" s="8"/>
      <c r="K816" s="8"/>
      <c r="L816" s="8">
        <f>IFERROR(__xludf.DUMMYFUNCTION("""COMPUTED_VALUE"""),1.0)</f>
        <v>1</v>
      </c>
      <c r="M816" s="8">
        <f>IFERROR(__xludf.DUMMYFUNCTION("""COMPUTED_VALUE"""),0.0)</f>
        <v>0</v>
      </c>
      <c r="N816" s="8">
        <f>IFERROR(__xludf.DUMMYFUNCTION("""COMPUTED_VALUE"""),3.0)</f>
        <v>3</v>
      </c>
      <c r="O816" s="8"/>
      <c r="P816" s="8"/>
      <c r="Q816" s="8"/>
      <c r="R816" s="8"/>
      <c r="S816" s="8"/>
      <c r="T816" s="8"/>
      <c r="U816" s="8"/>
      <c r="V816" s="8"/>
      <c r="W816" s="8"/>
      <c r="X816" s="8"/>
      <c r="Y816" s="8"/>
      <c r="Z816" s="8"/>
    </row>
    <row r="817">
      <c r="A817" s="8">
        <f>IFERROR(__xludf.DUMMYFUNCTION("""COMPUTED_VALUE"""),1227.0)</f>
        <v>1227</v>
      </c>
      <c r="B817" s="8" t="str">
        <f>IFERROR(__xludf.DUMMYFUNCTION("""COMPUTED_VALUE"""),"tree")</f>
        <v>tree</v>
      </c>
      <c r="C817" s="8" t="str">
        <f>IFERROR(__xludf.DUMMYFUNCTION("""COMPUTED_VALUE"""),"graft")</f>
        <v>graft</v>
      </c>
      <c r="D817" s="55" t="str">
        <f>IFERROR(__xludf.DUMMYFUNCTION("""COMPUTED_VALUE"""),"Nephelium mutabile")</f>
        <v>Nephelium mutabile</v>
      </c>
      <c r="E817" s="8" t="str">
        <f>IFERROR(__xludf.DUMMYFUNCTION("""COMPUTED_VALUE"""),"Yellow")</f>
        <v>Yellow</v>
      </c>
      <c r="F817" s="8" t="str">
        <f>IFERROR(__xludf.DUMMYFUNCTION("""COMPUTED_VALUE"""),"Pulasan")</f>
        <v>Pulasan</v>
      </c>
      <c r="G817" s="8" t="str">
        <f>IFERROR(__xludf.DUMMYFUNCTION("""COMPUTED_VALUE"""),"Pulasan")</f>
        <v>Pulasan</v>
      </c>
      <c r="H817" s="8" t="str">
        <f>IFERROR(__xludf.DUMMYFUNCTION("""COMPUTED_VALUE"""),"seed")</f>
        <v>seed</v>
      </c>
      <c r="I817" s="8"/>
      <c r="J817" s="8"/>
      <c r="K817" s="8"/>
      <c r="L817" s="8">
        <f>IFERROR(__xludf.DUMMYFUNCTION("""COMPUTED_VALUE"""),1.0)</f>
        <v>1</v>
      </c>
      <c r="M817" s="8">
        <f>IFERROR(__xludf.DUMMYFUNCTION("""COMPUTED_VALUE"""),0.0)</f>
        <v>0</v>
      </c>
      <c r="N817" s="8">
        <f>IFERROR(__xludf.DUMMYFUNCTION("""COMPUTED_VALUE"""),2.0)</f>
        <v>2</v>
      </c>
      <c r="O817" s="8"/>
      <c r="P817" s="8"/>
      <c r="Q817" s="8"/>
      <c r="R817" s="8"/>
      <c r="S817" s="8"/>
      <c r="T817" s="8"/>
      <c r="U817" s="8"/>
      <c r="V817" s="8"/>
      <c r="W817" s="8"/>
      <c r="X817" s="8"/>
      <c r="Y817" s="8"/>
      <c r="Z817" s="8"/>
    </row>
    <row r="818">
      <c r="A818" s="8">
        <f>IFERROR(__xludf.DUMMYFUNCTION("""COMPUTED_VALUE"""),1228.0)</f>
        <v>1228</v>
      </c>
      <c r="B818" s="8" t="str">
        <f>IFERROR(__xludf.DUMMYFUNCTION("""COMPUTED_VALUE"""),"tree")</f>
        <v>tree</v>
      </c>
      <c r="C818" s="8" t="str">
        <f>IFERROR(__xludf.DUMMYFUNCTION("""COMPUTED_VALUE"""),"graft")</f>
        <v>graft</v>
      </c>
      <c r="D818" s="55" t="str">
        <f>IFERROR(__xludf.DUMMYFUNCTION("""COMPUTED_VALUE"""),"Nephelium mutabile")</f>
        <v>Nephelium mutabile</v>
      </c>
      <c r="E818" s="8" t="str">
        <f>IFERROR(__xludf.DUMMYFUNCTION("""COMPUTED_VALUE"""),"Yellow")</f>
        <v>Yellow</v>
      </c>
      <c r="F818" s="8" t="str">
        <f>IFERROR(__xludf.DUMMYFUNCTION("""COMPUTED_VALUE"""),"Pulasan")</f>
        <v>Pulasan</v>
      </c>
      <c r="G818" s="8" t="str">
        <f>IFERROR(__xludf.DUMMYFUNCTION("""COMPUTED_VALUE"""),"Pulasan")</f>
        <v>Pulasan</v>
      </c>
      <c r="H818" s="8" t="str">
        <f>IFERROR(__xludf.DUMMYFUNCTION("""COMPUTED_VALUE"""),"seed")</f>
        <v>seed</v>
      </c>
      <c r="I818" s="8"/>
      <c r="J818" s="8"/>
      <c r="K818" s="8"/>
      <c r="L818" s="8">
        <f>IFERROR(__xludf.DUMMYFUNCTION("""COMPUTED_VALUE"""),1.0)</f>
        <v>1</v>
      </c>
      <c r="M818" s="8">
        <f>IFERROR(__xludf.DUMMYFUNCTION("""COMPUTED_VALUE"""),0.0)</f>
        <v>0</v>
      </c>
      <c r="N818" s="8">
        <f>IFERROR(__xludf.DUMMYFUNCTION("""COMPUTED_VALUE"""),2.0)</f>
        <v>2</v>
      </c>
      <c r="O818" s="8"/>
      <c r="P818" s="8"/>
      <c r="Q818" s="8"/>
      <c r="R818" s="8"/>
      <c r="S818" s="8"/>
      <c r="T818" s="8"/>
      <c r="U818" s="8"/>
      <c r="V818" s="8"/>
      <c r="W818" s="8"/>
      <c r="X818" s="8"/>
      <c r="Y818" s="8"/>
      <c r="Z818" s="8"/>
    </row>
    <row r="819">
      <c r="A819" s="8">
        <f>IFERROR(__xludf.DUMMYFUNCTION("""COMPUTED_VALUE"""),1229.0)</f>
        <v>1229</v>
      </c>
      <c r="B819" s="8" t="str">
        <f>IFERROR(__xludf.DUMMYFUNCTION("""COMPUTED_VALUE"""),"tree")</f>
        <v>tree</v>
      </c>
      <c r="C819" s="8" t="str">
        <f>IFERROR(__xludf.DUMMYFUNCTION("""COMPUTED_VALUE"""),"graft")</f>
        <v>graft</v>
      </c>
      <c r="D819" s="55" t="str">
        <f>IFERROR(__xludf.DUMMYFUNCTION("""COMPUTED_VALUE"""),"Nephelium mutabile")</f>
        <v>Nephelium mutabile</v>
      </c>
      <c r="E819" s="8" t="str">
        <f>IFERROR(__xludf.DUMMYFUNCTION("""COMPUTED_VALUE"""),"Red")</f>
        <v>Red</v>
      </c>
      <c r="F819" s="8" t="str">
        <f>IFERROR(__xludf.DUMMYFUNCTION("""COMPUTED_VALUE"""),"Pulasan")</f>
        <v>Pulasan</v>
      </c>
      <c r="G819" s="8" t="str">
        <f>IFERROR(__xludf.DUMMYFUNCTION("""COMPUTED_VALUE"""),"Pulasan")</f>
        <v>Pulasan</v>
      </c>
      <c r="H819" s="8" t="str">
        <f>IFERROR(__xludf.DUMMYFUNCTION("""COMPUTED_VALUE"""),"seed")</f>
        <v>seed</v>
      </c>
      <c r="I819" s="8"/>
      <c r="J819" s="8"/>
      <c r="K819" s="8"/>
      <c r="L819" s="8">
        <f>IFERROR(__xludf.DUMMYFUNCTION("""COMPUTED_VALUE"""),1.0)</f>
        <v>1</v>
      </c>
      <c r="M819" s="8">
        <f>IFERROR(__xludf.DUMMYFUNCTION("""COMPUTED_VALUE"""),0.0)</f>
        <v>0</v>
      </c>
      <c r="N819" s="8">
        <f>IFERROR(__xludf.DUMMYFUNCTION("""COMPUTED_VALUE"""),1.0)</f>
        <v>1</v>
      </c>
      <c r="O819" s="8"/>
      <c r="P819" s="8"/>
      <c r="Q819" s="8"/>
      <c r="R819" s="8"/>
      <c r="S819" s="8"/>
      <c r="T819" s="8"/>
      <c r="U819" s="8"/>
      <c r="V819" s="8"/>
      <c r="W819" s="8"/>
      <c r="X819" s="8"/>
      <c r="Y819" s="8"/>
      <c r="Z819" s="8"/>
    </row>
    <row r="820">
      <c r="A820" s="8">
        <f>IFERROR(__xludf.DUMMYFUNCTION("""COMPUTED_VALUE"""),1230.0)</f>
        <v>1230</v>
      </c>
      <c r="B820" s="8" t="str">
        <f>IFERROR(__xludf.DUMMYFUNCTION("""COMPUTED_VALUE"""),"tree")</f>
        <v>tree</v>
      </c>
      <c r="C820" s="8" t="str">
        <f>IFERROR(__xludf.DUMMYFUNCTION("""COMPUTED_VALUE"""),"graft")</f>
        <v>graft</v>
      </c>
      <c r="D820" s="55" t="str">
        <f>IFERROR(__xludf.DUMMYFUNCTION("""COMPUTED_VALUE"""),"Nephelium mutabile")</f>
        <v>Nephelium mutabile</v>
      </c>
      <c r="E820" s="8" t="str">
        <f>IFERROR(__xludf.DUMMYFUNCTION("""COMPUTED_VALUE"""),"Black")</f>
        <v>Black</v>
      </c>
      <c r="F820" s="8" t="str">
        <f>IFERROR(__xludf.DUMMYFUNCTION("""COMPUTED_VALUE"""),"Pulasan")</f>
        <v>Pulasan</v>
      </c>
      <c r="G820" s="8" t="str">
        <f>IFERROR(__xludf.DUMMYFUNCTION("""COMPUTED_VALUE"""),"Pulasan")</f>
        <v>Pulasan</v>
      </c>
      <c r="H820" s="8" t="str">
        <f>IFERROR(__xludf.DUMMYFUNCTION("""COMPUTED_VALUE"""),"seed")</f>
        <v>seed</v>
      </c>
      <c r="I820" s="8"/>
      <c r="J820" s="8"/>
      <c r="K820" s="8"/>
      <c r="L820" s="8">
        <f>IFERROR(__xludf.DUMMYFUNCTION("""COMPUTED_VALUE"""),1.0)</f>
        <v>1</v>
      </c>
      <c r="M820" s="8">
        <f>IFERROR(__xludf.DUMMYFUNCTION("""COMPUTED_VALUE"""),0.0)</f>
        <v>0</v>
      </c>
      <c r="N820" s="8">
        <f>IFERROR(__xludf.DUMMYFUNCTION("""COMPUTED_VALUE"""),1.0)</f>
        <v>1</v>
      </c>
      <c r="O820" s="8"/>
      <c r="P820" s="8"/>
      <c r="Q820" s="8"/>
      <c r="R820" s="8"/>
      <c r="S820" s="8"/>
      <c r="T820" s="8"/>
      <c r="U820" s="8"/>
      <c r="V820" s="8"/>
      <c r="W820" s="8"/>
      <c r="X820" s="8"/>
      <c r="Y820" s="8"/>
      <c r="Z820" s="8"/>
    </row>
    <row r="821">
      <c r="A821" s="8">
        <f>IFERROR(__xludf.DUMMYFUNCTION("""COMPUTED_VALUE"""),1231.0)</f>
        <v>1231</v>
      </c>
      <c r="B821" s="8" t="str">
        <f>IFERROR(__xludf.DUMMYFUNCTION("""COMPUTED_VALUE"""),"tree")</f>
        <v>tree</v>
      </c>
      <c r="C821" s="8" t="str">
        <f>IFERROR(__xludf.DUMMYFUNCTION("""COMPUTED_VALUE"""),"graft")</f>
        <v>graft</v>
      </c>
      <c r="D821" s="55" t="str">
        <f>IFERROR(__xludf.DUMMYFUNCTION("""COMPUTED_VALUE"""),"Pouteria caimito")</f>
        <v>Pouteria caimito</v>
      </c>
      <c r="E821" s="8" t="str">
        <f>IFERROR(__xludf.DUMMYFUNCTION("""COMPUTED_VALUE"""),"Seedling")</f>
        <v>Seedling</v>
      </c>
      <c r="F821" s="8" t="str">
        <f>IFERROR(__xludf.DUMMYFUNCTION("""COMPUTED_VALUE"""),"Abiu")</f>
        <v>Abiu</v>
      </c>
      <c r="G821" s="8" t="str">
        <f>IFERROR(__xludf.DUMMYFUNCTION("""COMPUTED_VALUE"""),"Abiu")</f>
        <v>Abiu</v>
      </c>
      <c r="H821" s="8" t="str">
        <f>IFERROR(__xludf.DUMMYFUNCTION("""COMPUTED_VALUE"""),"seed")</f>
        <v>seed</v>
      </c>
      <c r="I821" s="8"/>
      <c r="J821" s="8"/>
      <c r="K821" s="8"/>
      <c r="L821" s="8"/>
      <c r="M821" s="8">
        <f>IFERROR(__xludf.DUMMYFUNCTION("""COMPUTED_VALUE"""),0.0)</f>
        <v>0</v>
      </c>
      <c r="N821" s="8">
        <f>IFERROR(__xludf.DUMMYFUNCTION("""COMPUTED_VALUE"""),2.0)</f>
        <v>2</v>
      </c>
      <c r="O821" s="8"/>
      <c r="P821" s="8"/>
      <c r="Q821" s="8"/>
      <c r="R821" s="8"/>
      <c r="S821" s="8"/>
      <c r="T821" s="8"/>
      <c r="U821" s="8"/>
      <c r="V821" s="8"/>
      <c r="W821" s="8"/>
      <c r="X821" s="8"/>
      <c r="Y821" s="8"/>
      <c r="Z821" s="8"/>
    </row>
    <row r="822">
      <c r="A822" s="8">
        <f>IFERROR(__xludf.DUMMYFUNCTION("""COMPUTED_VALUE"""),1232.0)</f>
        <v>1232</v>
      </c>
      <c r="B822" s="8" t="str">
        <f>IFERROR(__xludf.DUMMYFUNCTION("""COMPUTED_VALUE"""),"tree")</f>
        <v>tree</v>
      </c>
      <c r="C822" s="8" t="str">
        <f>IFERROR(__xludf.DUMMYFUNCTION("""COMPUTED_VALUE"""),"graft")</f>
        <v>graft</v>
      </c>
      <c r="D822" s="55" t="str">
        <f>IFERROR(__xludf.DUMMYFUNCTION("""COMPUTED_VALUE"""),"Pouteria caimito")</f>
        <v>Pouteria caimito</v>
      </c>
      <c r="E822" s="8" t="str">
        <f>IFERROR(__xludf.DUMMYFUNCTION("""COMPUTED_VALUE"""),"Seedling")</f>
        <v>Seedling</v>
      </c>
      <c r="F822" s="8" t="str">
        <f>IFERROR(__xludf.DUMMYFUNCTION("""COMPUTED_VALUE"""),"Abiu")</f>
        <v>Abiu</v>
      </c>
      <c r="G822" s="8" t="str">
        <f>IFERROR(__xludf.DUMMYFUNCTION("""COMPUTED_VALUE"""),"Abiu")</f>
        <v>Abiu</v>
      </c>
      <c r="H822" s="8" t="str">
        <f>IFERROR(__xludf.DUMMYFUNCTION("""COMPUTED_VALUE"""),"seed")</f>
        <v>seed</v>
      </c>
      <c r="I822" s="8"/>
      <c r="J822" s="8"/>
      <c r="K822" s="8"/>
      <c r="L822" s="8"/>
      <c r="M822" s="8">
        <f>IFERROR(__xludf.DUMMYFUNCTION("""COMPUTED_VALUE"""),0.0)</f>
        <v>0</v>
      </c>
      <c r="N822" s="8">
        <f>IFERROR(__xludf.DUMMYFUNCTION("""COMPUTED_VALUE"""),2.0)</f>
        <v>2</v>
      </c>
      <c r="O822" s="8"/>
      <c r="P822" s="8"/>
      <c r="Q822" s="8"/>
      <c r="R822" s="8"/>
      <c r="S822" s="8"/>
      <c r="T822" s="8"/>
      <c r="U822" s="8"/>
      <c r="V822" s="8"/>
      <c r="W822" s="8"/>
      <c r="X822" s="8"/>
      <c r="Y822" s="8"/>
      <c r="Z822" s="8"/>
    </row>
    <row r="823">
      <c r="A823" s="8">
        <f>IFERROR(__xludf.DUMMYFUNCTION("""COMPUTED_VALUE"""),1233.0)</f>
        <v>1233</v>
      </c>
      <c r="B823" s="8" t="str">
        <f>IFERROR(__xludf.DUMMYFUNCTION("""COMPUTED_VALUE"""),"tree")</f>
        <v>tree</v>
      </c>
      <c r="C823" s="8" t="str">
        <f>IFERROR(__xludf.DUMMYFUNCTION("""COMPUTED_VALUE"""),"air_layer")</f>
        <v>air_layer</v>
      </c>
      <c r="D823" s="55" t="str">
        <f>IFERROR(__xludf.DUMMYFUNCTION("""COMPUTED_VALUE"""),"Dimocarpus longan")</f>
        <v>Dimocarpus longan</v>
      </c>
      <c r="E823" s="8" t="str">
        <f>IFERROR(__xludf.DUMMYFUNCTION("""COMPUTED_VALUE"""),"Red")</f>
        <v>Red</v>
      </c>
      <c r="F823" s="8" t="str">
        <f>IFERROR(__xludf.DUMMYFUNCTION("""COMPUTED_VALUE"""),"Longan")</f>
        <v>Longan</v>
      </c>
      <c r="G823" s="8" t="str">
        <f>IFERROR(__xludf.DUMMYFUNCTION("""COMPUTED_VALUE"""),"Longane")</f>
        <v>Longane</v>
      </c>
      <c r="H823" s="8" t="str">
        <f>IFERROR(__xludf.DUMMYFUNCTION("""COMPUTED_VALUE"""),"seed")</f>
        <v>seed</v>
      </c>
      <c r="I823" s="8"/>
      <c r="J823" s="8"/>
      <c r="K823" s="8"/>
      <c r="L823" s="8">
        <f>IFERROR(__xludf.DUMMYFUNCTION("""COMPUTED_VALUE"""),1.0)</f>
        <v>1</v>
      </c>
      <c r="M823" s="8">
        <f>IFERROR(__xludf.DUMMYFUNCTION("""COMPUTED_VALUE"""),0.0)</f>
        <v>0</v>
      </c>
      <c r="N823" s="8">
        <f>IFERROR(__xludf.DUMMYFUNCTION("""COMPUTED_VALUE"""),15.0)</f>
        <v>15</v>
      </c>
      <c r="O823" s="8"/>
      <c r="P823" s="8"/>
      <c r="Q823" s="8"/>
      <c r="R823" s="8"/>
      <c r="S823" s="8"/>
      <c r="T823" s="8"/>
      <c r="U823" s="8"/>
      <c r="V823" s="8"/>
      <c r="W823" s="8"/>
      <c r="X823" s="8"/>
      <c r="Y823" s="8"/>
      <c r="Z823" s="8"/>
    </row>
    <row r="824">
      <c r="A824" s="8">
        <f>IFERROR(__xludf.DUMMYFUNCTION("""COMPUTED_VALUE"""),1234.0)</f>
        <v>1234</v>
      </c>
      <c r="B824" s="8" t="str">
        <f>IFERROR(__xludf.DUMMYFUNCTION("""COMPUTED_VALUE"""),"tree")</f>
        <v>tree</v>
      </c>
      <c r="C824" s="8" t="str">
        <f>IFERROR(__xludf.DUMMYFUNCTION("""COMPUTED_VALUE"""),"sucker")</f>
        <v>sucker</v>
      </c>
      <c r="D824" s="55" t="str">
        <f>IFERROR(__xludf.DUMMYFUNCTION("""COMPUTED_VALUE"""),"Salacca zalacca")</f>
        <v>Salacca zalacca</v>
      </c>
      <c r="E824" s="8" t="str">
        <f>IFERROR(__xludf.DUMMYFUNCTION("""COMPUTED_VALUE"""),"Bali")</f>
        <v>Bali</v>
      </c>
      <c r="F824" s="8" t="str">
        <f>IFERROR(__xludf.DUMMYFUNCTION("""COMPUTED_VALUE"""),"Snake Fruit (Salak)")</f>
        <v>Snake Fruit (Salak)</v>
      </c>
      <c r="G824" s="8" t="str">
        <f>IFERROR(__xludf.DUMMYFUNCTION("""COMPUTED_VALUE"""),"Fruit du serpent (Salak)")</f>
        <v>Fruit du serpent (Salak)</v>
      </c>
      <c r="H824" s="8" t="str">
        <f>IFERROR(__xludf.DUMMYFUNCTION("""COMPUTED_VALUE"""),"seed")</f>
        <v>seed</v>
      </c>
      <c r="I824" s="8"/>
      <c r="J824" s="8"/>
      <c r="K824" s="8"/>
      <c r="L824" s="8"/>
      <c r="M824" s="8">
        <f>IFERROR(__xludf.DUMMYFUNCTION("""COMPUTED_VALUE"""),0.0)</f>
        <v>0</v>
      </c>
      <c r="N824" s="8">
        <f>IFERROR(__xludf.DUMMYFUNCTION("""COMPUTED_VALUE"""),17.0)</f>
        <v>17</v>
      </c>
      <c r="O824" s="8"/>
      <c r="P824" s="8"/>
      <c r="Q824" s="8"/>
      <c r="R824" s="8"/>
      <c r="S824" s="8"/>
      <c r="T824" s="8"/>
      <c r="U824" s="8"/>
      <c r="V824" s="8"/>
      <c r="W824" s="8"/>
      <c r="X824" s="8"/>
      <c r="Y824" s="8"/>
      <c r="Z824" s="8"/>
    </row>
    <row r="825">
      <c r="A825" s="8">
        <f>IFERROR(__xludf.DUMMYFUNCTION("""COMPUTED_VALUE"""),1235.0)</f>
        <v>1235</v>
      </c>
      <c r="B825" s="8" t="str">
        <f>IFERROR(__xludf.DUMMYFUNCTION("""COMPUTED_VALUE"""),"perennial")</f>
        <v>perennial</v>
      </c>
      <c r="C825" s="8" t="str">
        <f>IFERROR(__xludf.DUMMYFUNCTION("""COMPUTED_VALUE"""),"graft")</f>
        <v>graft</v>
      </c>
      <c r="D825" s="55" t="str">
        <f>IFERROR(__xludf.DUMMYFUNCTION("""COMPUTED_VALUE"""),"Eugenia uniflora")</f>
        <v>Eugenia uniflora</v>
      </c>
      <c r="E825" s="8" t="str">
        <f>IFERROR(__xludf.DUMMYFUNCTION("""COMPUTED_VALUE"""),"Red Seedling")</f>
        <v>Red Seedling</v>
      </c>
      <c r="F825" s="8" t="str">
        <f>IFERROR(__xludf.DUMMYFUNCTION("""COMPUTED_VALUE"""),"Surinam Cherry")</f>
        <v>Surinam Cherry</v>
      </c>
      <c r="G825" s="8" t="str">
        <f>IFERROR(__xludf.DUMMYFUNCTION("""COMPUTED_VALUE"""),"Cerise du Suriname")</f>
        <v>Cerise du Suriname</v>
      </c>
      <c r="H825" s="8" t="str">
        <f>IFERROR(__xludf.DUMMYFUNCTION("""COMPUTED_VALUE"""),"seed")</f>
        <v>seed</v>
      </c>
      <c r="I825" s="8"/>
      <c r="J825" s="8"/>
      <c r="K825" s="8"/>
      <c r="L825" s="8">
        <f>IFERROR(__xludf.DUMMYFUNCTION("""COMPUTED_VALUE"""),1.0)</f>
        <v>1</v>
      </c>
      <c r="M825" s="8">
        <f>IFERROR(__xludf.DUMMYFUNCTION("""COMPUTED_VALUE"""),0.0)</f>
        <v>0</v>
      </c>
      <c r="N825" s="8">
        <f>IFERROR(__xludf.DUMMYFUNCTION("""COMPUTED_VALUE"""),16.0)</f>
        <v>16</v>
      </c>
      <c r="O825" s="8"/>
      <c r="P825" s="8"/>
      <c r="Q825" s="8"/>
      <c r="R825" s="8"/>
      <c r="S825" s="8"/>
      <c r="T825" s="8"/>
      <c r="U825" s="8"/>
      <c r="V825" s="8"/>
      <c r="W825" s="8"/>
      <c r="X825" s="8"/>
      <c r="Y825" s="8"/>
      <c r="Z825" s="8"/>
    </row>
    <row r="826">
      <c r="A826" s="8">
        <f>IFERROR(__xludf.DUMMYFUNCTION("""COMPUTED_VALUE"""),1236.0)</f>
        <v>1236</v>
      </c>
      <c r="B826" s="8" t="str">
        <f>IFERROR(__xludf.DUMMYFUNCTION("""COMPUTED_VALUE"""),"perennial")</f>
        <v>perennial</v>
      </c>
      <c r="C826" s="8" t="str">
        <f>IFERROR(__xludf.DUMMYFUNCTION("""COMPUTED_VALUE"""),"graft")</f>
        <v>graft</v>
      </c>
      <c r="D826" s="55" t="str">
        <f>IFERROR(__xludf.DUMMYFUNCTION("""COMPUTED_VALUE"""),"Eugenia uniflora")</f>
        <v>Eugenia uniflora</v>
      </c>
      <c r="E826" s="8" t="str">
        <f>IFERROR(__xludf.DUMMYFUNCTION("""COMPUTED_VALUE"""),"Red Seedling")</f>
        <v>Red Seedling</v>
      </c>
      <c r="F826" s="8" t="str">
        <f>IFERROR(__xludf.DUMMYFUNCTION("""COMPUTED_VALUE"""),"Surinam Cherry")</f>
        <v>Surinam Cherry</v>
      </c>
      <c r="G826" s="8" t="str">
        <f>IFERROR(__xludf.DUMMYFUNCTION("""COMPUTED_VALUE"""),"Cerise du Suriname")</f>
        <v>Cerise du Suriname</v>
      </c>
      <c r="H826" s="8" t="str">
        <f>IFERROR(__xludf.DUMMYFUNCTION("""COMPUTED_VALUE"""),"seed")</f>
        <v>seed</v>
      </c>
      <c r="I826" s="8"/>
      <c r="J826" s="8"/>
      <c r="K826" s="8"/>
      <c r="L826" s="8">
        <f>IFERROR(__xludf.DUMMYFUNCTION("""COMPUTED_VALUE"""),1.0)</f>
        <v>1</v>
      </c>
      <c r="M826" s="8">
        <f>IFERROR(__xludf.DUMMYFUNCTION("""COMPUTED_VALUE"""),0.0)</f>
        <v>0</v>
      </c>
      <c r="N826" s="8">
        <f>IFERROR(__xludf.DUMMYFUNCTION("""COMPUTED_VALUE"""),16.0)</f>
        <v>16</v>
      </c>
      <c r="O826" s="8"/>
      <c r="P826" s="8"/>
      <c r="Q826" s="8"/>
      <c r="R826" s="8"/>
      <c r="S826" s="8"/>
      <c r="T826" s="8"/>
      <c r="U826" s="8"/>
      <c r="V826" s="8"/>
      <c r="W826" s="8"/>
      <c r="X826" s="8"/>
      <c r="Y826" s="8"/>
      <c r="Z826" s="8"/>
    </row>
    <row r="827">
      <c r="A827" s="8">
        <f>IFERROR(__xludf.DUMMYFUNCTION("""COMPUTED_VALUE"""),1237.0)</f>
        <v>1237</v>
      </c>
      <c r="B827" s="8" t="str">
        <f>IFERROR(__xludf.DUMMYFUNCTION("""COMPUTED_VALUE"""),"perennial")</f>
        <v>perennial</v>
      </c>
      <c r="C827" s="8" t="str">
        <f>IFERROR(__xludf.DUMMYFUNCTION("""COMPUTED_VALUE"""),"graft")</f>
        <v>graft</v>
      </c>
      <c r="D827" s="55" t="str">
        <f>IFERROR(__xludf.DUMMYFUNCTION("""COMPUTED_VALUE"""),"Eugenia uniflora")</f>
        <v>Eugenia uniflora</v>
      </c>
      <c r="E827" s="8" t="str">
        <f>IFERROR(__xludf.DUMMYFUNCTION("""COMPUTED_VALUE"""),"Red Seedling")</f>
        <v>Red Seedling</v>
      </c>
      <c r="F827" s="8" t="str">
        <f>IFERROR(__xludf.DUMMYFUNCTION("""COMPUTED_VALUE"""),"Surinam Cherry")</f>
        <v>Surinam Cherry</v>
      </c>
      <c r="G827" s="8" t="str">
        <f>IFERROR(__xludf.DUMMYFUNCTION("""COMPUTED_VALUE"""),"Cerise du Suriname")</f>
        <v>Cerise du Suriname</v>
      </c>
      <c r="H827" s="8" t="str">
        <f>IFERROR(__xludf.DUMMYFUNCTION("""COMPUTED_VALUE"""),"seed")</f>
        <v>seed</v>
      </c>
      <c r="I827" s="8"/>
      <c r="J827" s="8"/>
      <c r="K827" s="8"/>
      <c r="L827" s="8">
        <f>IFERROR(__xludf.DUMMYFUNCTION("""COMPUTED_VALUE"""),1.0)</f>
        <v>1</v>
      </c>
      <c r="M827" s="8">
        <f>IFERROR(__xludf.DUMMYFUNCTION("""COMPUTED_VALUE"""),0.0)</f>
        <v>0</v>
      </c>
      <c r="N827" s="8">
        <f>IFERROR(__xludf.DUMMYFUNCTION("""COMPUTED_VALUE"""),16.0)</f>
        <v>16</v>
      </c>
      <c r="O827" s="8"/>
      <c r="P827" s="8"/>
      <c r="Q827" s="8"/>
      <c r="R827" s="8"/>
      <c r="S827" s="8"/>
      <c r="T827" s="8"/>
      <c r="U827" s="8"/>
      <c r="V827" s="8"/>
      <c r="W827" s="8"/>
      <c r="X827" s="8"/>
      <c r="Y827" s="8"/>
      <c r="Z827" s="8"/>
    </row>
    <row r="828">
      <c r="A828" s="8">
        <f>IFERROR(__xludf.DUMMYFUNCTION("""COMPUTED_VALUE"""),1238.0)</f>
        <v>1238</v>
      </c>
      <c r="B828" s="8" t="str">
        <f>IFERROR(__xludf.DUMMYFUNCTION("""COMPUTED_VALUE"""),"perennial")</f>
        <v>perennial</v>
      </c>
      <c r="C828" s="8" t="str">
        <f>IFERROR(__xludf.DUMMYFUNCTION("""COMPUTED_VALUE"""),"graft")</f>
        <v>graft</v>
      </c>
      <c r="D828" s="55" t="str">
        <f>IFERROR(__xludf.DUMMYFUNCTION("""COMPUTED_VALUE"""),"Eugenia uniflora")</f>
        <v>Eugenia uniflora</v>
      </c>
      <c r="E828" s="8" t="str">
        <f>IFERROR(__xludf.DUMMYFUNCTION("""COMPUTED_VALUE"""),"Red Seedling")</f>
        <v>Red Seedling</v>
      </c>
      <c r="F828" s="8" t="str">
        <f>IFERROR(__xludf.DUMMYFUNCTION("""COMPUTED_VALUE"""),"Surinam Cherry")</f>
        <v>Surinam Cherry</v>
      </c>
      <c r="G828" s="8" t="str">
        <f>IFERROR(__xludf.DUMMYFUNCTION("""COMPUTED_VALUE"""),"Cerise du Suriname")</f>
        <v>Cerise du Suriname</v>
      </c>
      <c r="H828" s="8" t="str">
        <f>IFERROR(__xludf.DUMMYFUNCTION("""COMPUTED_VALUE"""),"seed")</f>
        <v>seed</v>
      </c>
      <c r="I828" s="8"/>
      <c r="J828" s="8"/>
      <c r="K828" s="8"/>
      <c r="L828" s="8">
        <f>IFERROR(__xludf.DUMMYFUNCTION("""COMPUTED_VALUE"""),1.0)</f>
        <v>1</v>
      </c>
      <c r="M828" s="8">
        <f>IFERROR(__xludf.DUMMYFUNCTION("""COMPUTED_VALUE"""),0.0)</f>
        <v>0</v>
      </c>
      <c r="N828" s="8">
        <f>IFERROR(__xludf.DUMMYFUNCTION("""COMPUTED_VALUE"""),16.0)</f>
        <v>16</v>
      </c>
      <c r="O828" s="8"/>
      <c r="P828" s="8"/>
      <c r="Q828" s="8"/>
      <c r="R828" s="8"/>
      <c r="S828" s="8"/>
      <c r="T828" s="8"/>
      <c r="U828" s="8"/>
      <c r="V828" s="8"/>
      <c r="W828" s="8"/>
      <c r="X828" s="8"/>
      <c r="Y828" s="8"/>
      <c r="Z828" s="8"/>
    </row>
    <row r="829">
      <c r="A829" s="8">
        <f>IFERROR(__xludf.DUMMYFUNCTION("""COMPUTED_VALUE"""),1239.0)</f>
        <v>1239</v>
      </c>
      <c r="B829" s="8" t="str">
        <f>IFERROR(__xludf.DUMMYFUNCTION("""COMPUTED_VALUE"""),"perennial")</f>
        <v>perennial</v>
      </c>
      <c r="C829" s="8" t="str">
        <f>IFERROR(__xludf.DUMMYFUNCTION("""COMPUTED_VALUE"""),"graft")</f>
        <v>graft</v>
      </c>
      <c r="D829" s="55" t="str">
        <f>IFERROR(__xludf.DUMMYFUNCTION("""COMPUTED_VALUE"""),"Eugenia uniflora")</f>
        <v>Eugenia uniflora</v>
      </c>
      <c r="E829" s="8" t="str">
        <f>IFERROR(__xludf.DUMMYFUNCTION("""COMPUTED_VALUE"""),"Red Seedling")</f>
        <v>Red Seedling</v>
      </c>
      <c r="F829" s="8" t="str">
        <f>IFERROR(__xludf.DUMMYFUNCTION("""COMPUTED_VALUE"""),"Surinam Cherry")</f>
        <v>Surinam Cherry</v>
      </c>
      <c r="G829" s="8" t="str">
        <f>IFERROR(__xludf.DUMMYFUNCTION("""COMPUTED_VALUE"""),"Cerise du Suriname")</f>
        <v>Cerise du Suriname</v>
      </c>
      <c r="H829" s="8" t="str">
        <f>IFERROR(__xludf.DUMMYFUNCTION("""COMPUTED_VALUE"""),"seed")</f>
        <v>seed</v>
      </c>
      <c r="I829" s="8"/>
      <c r="J829" s="8"/>
      <c r="K829" s="8"/>
      <c r="L829" s="8">
        <f>IFERROR(__xludf.DUMMYFUNCTION("""COMPUTED_VALUE"""),1.0)</f>
        <v>1</v>
      </c>
      <c r="M829" s="8">
        <f>IFERROR(__xludf.DUMMYFUNCTION("""COMPUTED_VALUE"""),0.0)</f>
        <v>0</v>
      </c>
      <c r="N829" s="8">
        <f>IFERROR(__xludf.DUMMYFUNCTION("""COMPUTED_VALUE"""),16.0)</f>
        <v>16</v>
      </c>
      <c r="O829" s="8"/>
      <c r="P829" s="8"/>
      <c r="Q829" s="8"/>
      <c r="R829" s="8"/>
      <c r="S829" s="8"/>
      <c r="T829" s="8"/>
      <c r="U829" s="8"/>
      <c r="V829" s="8"/>
      <c r="W829" s="8"/>
      <c r="X829" s="8"/>
      <c r="Y829" s="8"/>
      <c r="Z829" s="8"/>
    </row>
    <row r="830">
      <c r="A830" s="8">
        <f>IFERROR(__xludf.DUMMYFUNCTION("""COMPUTED_VALUE"""),1240.0)</f>
        <v>1240</v>
      </c>
      <c r="B830" s="8" t="str">
        <f>IFERROR(__xludf.DUMMYFUNCTION("""COMPUTED_VALUE"""),"perennial")</f>
        <v>perennial</v>
      </c>
      <c r="C830" s="8" t="str">
        <f>IFERROR(__xludf.DUMMYFUNCTION("""COMPUTED_VALUE"""),"graft")</f>
        <v>graft</v>
      </c>
      <c r="D830" s="55" t="str">
        <f>IFERROR(__xludf.DUMMYFUNCTION("""COMPUTED_VALUE"""),"Eugenia uniflora")</f>
        <v>Eugenia uniflora</v>
      </c>
      <c r="E830" s="8" t="str">
        <f>IFERROR(__xludf.DUMMYFUNCTION("""COMPUTED_VALUE"""),"Red Seedling")</f>
        <v>Red Seedling</v>
      </c>
      <c r="F830" s="8" t="str">
        <f>IFERROR(__xludf.DUMMYFUNCTION("""COMPUTED_VALUE"""),"Surinam Cherry")</f>
        <v>Surinam Cherry</v>
      </c>
      <c r="G830" s="8" t="str">
        <f>IFERROR(__xludf.DUMMYFUNCTION("""COMPUTED_VALUE"""),"Cerise du Suriname")</f>
        <v>Cerise du Suriname</v>
      </c>
      <c r="H830" s="8" t="str">
        <f>IFERROR(__xludf.DUMMYFUNCTION("""COMPUTED_VALUE"""),"seed")</f>
        <v>seed</v>
      </c>
      <c r="I830" s="8"/>
      <c r="J830" s="8"/>
      <c r="K830" s="8"/>
      <c r="L830" s="8">
        <f>IFERROR(__xludf.DUMMYFUNCTION("""COMPUTED_VALUE"""),1.0)</f>
        <v>1</v>
      </c>
      <c r="M830" s="8">
        <f>IFERROR(__xludf.DUMMYFUNCTION("""COMPUTED_VALUE"""),0.0)</f>
        <v>0</v>
      </c>
      <c r="N830" s="8">
        <f>IFERROR(__xludf.DUMMYFUNCTION("""COMPUTED_VALUE"""),16.0)</f>
        <v>16</v>
      </c>
      <c r="O830" s="8"/>
      <c r="P830" s="8"/>
      <c r="Q830" s="8"/>
      <c r="R830" s="8"/>
      <c r="S830" s="8"/>
      <c r="T830" s="8"/>
      <c r="U830" s="8"/>
      <c r="V830" s="8"/>
      <c r="W830" s="8"/>
      <c r="X830" s="8"/>
      <c r="Y830" s="8"/>
      <c r="Z830" s="8"/>
    </row>
    <row r="831">
      <c r="A831" s="8">
        <f>IFERROR(__xludf.DUMMYFUNCTION("""COMPUTED_VALUE"""),1241.0)</f>
        <v>1241</v>
      </c>
      <c r="B831" s="8" t="str">
        <f>IFERROR(__xludf.DUMMYFUNCTION("""COMPUTED_VALUE"""),"perennial")</f>
        <v>perennial</v>
      </c>
      <c r="C831" s="8" t="str">
        <f>IFERROR(__xludf.DUMMYFUNCTION("""COMPUTED_VALUE"""),"graft")</f>
        <v>graft</v>
      </c>
      <c r="D831" s="55" t="str">
        <f>IFERROR(__xludf.DUMMYFUNCTION("""COMPUTED_VALUE"""),"Eugenia uniflora")</f>
        <v>Eugenia uniflora</v>
      </c>
      <c r="E831" s="8" t="str">
        <f>IFERROR(__xludf.DUMMYFUNCTION("""COMPUTED_VALUE"""),"Red Seedling")</f>
        <v>Red Seedling</v>
      </c>
      <c r="F831" s="8" t="str">
        <f>IFERROR(__xludf.DUMMYFUNCTION("""COMPUTED_VALUE"""),"Surinam Cherry")</f>
        <v>Surinam Cherry</v>
      </c>
      <c r="G831" s="8" t="str">
        <f>IFERROR(__xludf.DUMMYFUNCTION("""COMPUTED_VALUE"""),"Cerise du Suriname")</f>
        <v>Cerise du Suriname</v>
      </c>
      <c r="H831" s="8" t="str">
        <f>IFERROR(__xludf.DUMMYFUNCTION("""COMPUTED_VALUE"""),"seed")</f>
        <v>seed</v>
      </c>
      <c r="I831" s="8"/>
      <c r="J831" s="8"/>
      <c r="K831" s="8"/>
      <c r="L831" s="8">
        <f>IFERROR(__xludf.DUMMYFUNCTION("""COMPUTED_VALUE"""),1.0)</f>
        <v>1</v>
      </c>
      <c r="M831" s="8">
        <f>IFERROR(__xludf.DUMMYFUNCTION("""COMPUTED_VALUE"""),0.0)</f>
        <v>0</v>
      </c>
      <c r="N831" s="8">
        <f>IFERROR(__xludf.DUMMYFUNCTION("""COMPUTED_VALUE"""),16.0)</f>
        <v>16</v>
      </c>
      <c r="O831" s="8"/>
      <c r="P831" s="8"/>
      <c r="Q831" s="8"/>
      <c r="R831" s="8"/>
      <c r="S831" s="8"/>
      <c r="T831" s="8"/>
      <c r="U831" s="8"/>
      <c r="V831" s="8"/>
      <c r="W831" s="8"/>
      <c r="X831" s="8"/>
      <c r="Y831" s="8"/>
      <c r="Z831" s="8"/>
    </row>
    <row r="832">
      <c r="A832" s="8">
        <f>IFERROR(__xludf.DUMMYFUNCTION("""COMPUTED_VALUE"""),1242.0)</f>
        <v>1242</v>
      </c>
      <c r="B832" s="8" t="str">
        <f>IFERROR(__xludf.DUMMYFUNCTION("""COMPUTED_VALUE"""),"perennial")</f>
        <v>perennial</v>
      </c>
      <c r="C832" s="8" t="str">
        <f>IFERROR(__xludf.DUMMYFUNCTION("""COMPUTED_VALUE"""),"graft")</f>
        <v>graft</v>
      </c>
      <c r="D832" s="55" t="str">
        <f>IFERROR(__xludf.DUMMYFUNCTION("""COMPUTED_VALUE"""),"Eugenia uniflora")</f>
        <v>Eugenia uniflora</v>
      </c>
      <c r="E832" s="8" t="str">
        <f>IFERROR(__xludf.DUMMYFUNCTION("""COMPUTED_VALUE"""),"Red Seedling")</f>
        <v>Red Seedling</v>
      </c>
      <c r="F832" s="8" t="str">
        <f>IFERROR(__xludf.DUMMYFUNCTION("""COMPUTED_VALUE"""),"Surinam Cherry")</f>
        <v>Surinam Cherry</v>
      </c>
      <c r="G832" s="8" t="str">
        <f>IFERROR(__xludf.DUMMYFUNCTION("""COMPUTED_VALUE"""),"Cerise du Suriname")</f>
        <v>Cerise du Suriname</v>
      </c>
      <c r="H832" s="8" t="str">
        <f>IFERROR(__xludf.DUMMYFUNCTION("""COMPUTED_VALUE"""),"seed")</f>
        <v>seed</v>
      </c>
      <c r="I832" s="8"/>
      <c r="J832" s="8"/>
      <c r="K832" s="8"/>
      <c r="L832" s="8">
        <f>IFERROR(__xludf.DUMMYFUNCTION("""COMPUTED_VALUE"""),1.0)</f>
        <v>1</v>
      </c>
      <c r="M832" s="8">
        <f>IFERROR(__xludf.DUMMYFUNCTION("""COMPUTED_VALUE"""),0.0)</f>
        <v>0</v>
      </c>
      <c r="N832" s="8">
        <f>IFERROR(__xludf.DUMMYFUNCTION("""COMPUTED_VALUE"""),16.0)</f>
        <v>16</v>
      </c>
      <c r="O832" s="8"/>
      <c r="P832" s="8"/>
      <c r="Q832" s="8"/>
      <c r="R832" s="8"/>
      <c r="S832" s="8"/>
      <c r="T832" s="8"/>
      <c r="U832" s="8"/>
      <c r="V832" s="8"/>
      <c r="W832" s="8"/>
      <c r="X832" s="8"/>
      <c r="Y832" s="8"/>
      <c r="Z832" s="8"/>
    </row>
    <row r="833">
      <c r="A833" s="8">
        <f>IFERROR(__xludf.DUMMYFUNCTION("""COMPUTED_VALUE"""),1243.0)</f>
        <v>1243</v>
      </c>
      <c r="B833" s="8" t="str">
        <f>IFERROR(__xludf.DUMMYFUNCTION("""COMPUTED_VALUE"""),"perennial")</f>
        <v>perennial</v>
      </c>
      <c r="C833" s="8" t="str">
        <f>IFERROR(__xludf.DUMMYFUNCTION("""COMPUTED_VALUE"""),"graft")</f>
        <v>graft</v>
      </c>
      <c r="D833" s="55" t="str">
        <f>IFERROR(__xludf.DUMMYFUNCTION("""COMPUTED_VALUE"""),"Eugenia uniflora")</f>
        <v>Eugenia uniflora</v>
      </c>
      <c r="E833" s="8" t="str">
        <f>IFERROR(__xludf.DUMMYFUNCTION("""COMPUTED_VALUE"""),"Red Seedling")</f>
        <v>Red Seedling</v>
      </c>
      <c r="F833" s="8" t="str">
        <f>IFERROR(__xludf.DUMMYFUNCTION("""COMPUTED_VALUE"""),"Surinam Cherry")</f>
        <v>Surinam Cherry</v>
      </c>
      <c r="G833" s="8" t="str">
        <f>IFERROR(__xludf.DUMMYFUNCTION("""COMPUTED_VALUE"""),"Cerise du Suriname")</f>
        <v>Cerise du Suriname</v>
      </c>
      <c r="H833" s="8" t="str">
        <f>IFERROR(__xludf.DUMMYFUNCTION("""COMPUTED_VALUE"""),"seed")</f>
        <v>seed</v>
      </c>
      <c r="I833" s="8"/>
      <c r="J833" s="8"/>
      <c r="K833" s="8"/>
      <c r="L833" s="8">
        <f>IFERROR(__xludf.DUMMYFUNCTION("""COMPUTED_VALUE"""),1.0)</f>
        <v>1</v>
      </c>
      <c r="M833" s="8">
        <f>IFERROR(__xludf.DUMMYFUNCTION("""COMPUTED_VALUE"""),0.0)</f>
        <v>0</v>
      </c>
      <c r="N833" s="8">
        <f>IFERROR(__xludf.DUMMYFUNCTION("""COMPUTED_VALUE"""),16.0)</f>
        <v>16</v>
      </c>
      <c r="O833" s="8"/>
      <c r="P833" s="8"/>
      <c r="Q833" s="8"/>
      <c r="R833" s="8"/>
      <c r="S833" s="8"/>
      <c r="T833" s="8"/>
      <c r="U833" s="8"/>
      <c r="V833" s="8"/>
      <c r="W833" s="8"/>
      <c r="X833" s="8"/>
      <c r="Y833" s="8"/>
      <c r="Z833" s="8"/>
    </row>
    <row r="834">
      <c r="A834" s="8">
        <f>IFERROR(__xludf.DUMMYFUNCTION("""COMPUTED_VALUE"""),1244.0)</f>
        <v>1244</v>
      </c>
      <c r="B834" s="8" t="str">
        <f>IFERROR(__xludf.DUMMYFUNCTION("""COMPUTED_VALUE"""),"perennial")</f>
        <v>perennial</v>
      </c>
      <c r="C834" s="8" t="str">
        <f>IFERROR(__xludf.DUMMYFUNCTION("""COMPUTED_VALUE"""),"graft")</f>
        <v>graft</v>
      </c>
      <c r="D834" s="55" t="str">
        <f>IFERROR(__xludf.DUMMYFUNCTION("""COMPUTED_VALUE"""),"Eugenia uniflora")</f>
        <v>Eugenia uniflora</v>
      </c>
      <c r="E834" s="8" t="str">
        <f>IFERROR(__xludf.DUMMYFUNCTION("""COMPUTED_VALUE"""),"Red Seedling")</f>
        <v>Red Seedling</v>
      </c>
      <c r="F834" s="8" t="str">
        <f>IFERROR(__xludf.DUMMYFUNCTION("""COMPUTED_VALUE"""),"Surinam Cherry")</f>
        <v>Surinam Cherry</v>
      </c>
      <c r="G834" s="8" t="str">
        <f>IFERROR(__xludf.DUMMYFUNCTION("""COMPUTED_VALUE"""),"Cerise du Suriname")</f>
        <v>Cerise du Suriname</v>
      </c>
      <c r="H834" s="8" t="str">
        <f>IFERROR(__xludf.DUMMYFUNCTION("""COMPUTED_VALUE"""),"seed")</f>
        <v>seed</v>
      </c>
      <c r="I834" s="8"/>
      <c r="J834" s="8"/>
      <c r="K834" s="8"/>
      <c r="L834" s="8">
        <f>IFERROR(__xludf.DUMMYFUNCTION("""COMPUTED_VALUE"""),1.0)</f>
        <v>1</v>
      </c>
      <c r="M834" s="8">
        <f>IFERROR(__xludf.DUMMYFUNCTION("""COMPUTED_VALUE"""),0.0)</f>
        <v>0</v>
      </c>
      <c r="N834" s="8">
        <f>IFERROR(__xludf.DUMMYFUNCTION("""COMPUTED_VALUE"""),16.0)</f>
        <v>16</v>
      </c>
      <c r="O834" s="8"/>
      <c r="P834" s="8"/>
      <c r="Q834" s="8"/>
      <c r="R834" s="8"/>
      <c r="S834" s="8"/>
      <c r="T834" s="8"/>
      <c r="U834" s="8"/>
      <c r="V834" s="8"/>
      <c r="W834" s="8"/>
      <c r="X834" s="8"/>
      <c r="Y834" s="8"/>
      <c r="Z834" s="8"/>
    </row>
    <row r="835">
      <c r="A835" s="8">
        <f>IFERROR(__xludf.DUMMYFUNCTION("""COMPUTED_VALUE"""),1245.0)</f>
        <v>1245</v>
      </c>
      <c r="B835" s="8" t="str">
        <f>IFERROR(__xludf.DUMMYFUNCTION("""COMPUTED_VALUE"""),"perennial")</f>
        <v>perennial</v>
      </c>
      <c r="C835" s="8" t="str">
        <f>IFERROR(__xludf.DUMMYFUNCTION("""COMPUTED_VALUE"""),"graft")</f>
        <v>graft</v>
      </c>
      <c r="D835" s="55" t="str">
        <f>IFERROR(__xludf.DUMMYFUNCTION("""COMPUTED_VALUE"""),"Eugenia uniflora")</f>
        <v>Eugenia uniflora</v>
      </c>
      <c r="E835" s="8" t="str">
        <f>IFERROR(__xludf.DUMMYFUNCTION("""COMPUTED_VALUE"""),"Red Seedling")</f>
        <v>Red Seedling</v>
      </c>
      <c r="F835" s="8" t="str">
        <f>IFERROR(__xludf.DUMMYFUNCTION("""COMPUTED_VALUE"""),"Surinam Cherry")</f>
        <v>Surinam Cherry</v>
      </c>
      <c r="G835" s="8" t="str">
        <f>IFERROR(__xludf.DUMMYFUNCTION("""COMPUTED_VALUE"""),"Cerise du Suriname")</f>
        <v>Cerise du Suriname</v>
      </c>
      <c r="H835" s="8" t="str">
        <f>IFERROR(__xludf.DUMMYFUNCTION("""COMPUTED_VALUE"""),"seed")</f>
        <v>seed</v>
      </c>
      <c r="I835" s="8"/>
      <c r="J835" s="8"/>
      <c r="K835" s="8"/>
      <c r="L835" s="8">
        <f>IFERROR(__xludf.DUMMYFUNCTION("""COMPUTED_VALUE"""),1.0)</f>
        <v>1</v>
      </c>
      <c r="M835" s="8">
        <f>IFERROR(__xludf.DUMMYFUNCTION("""COMPUTED_VALUE"""),0.0)</f>
        <v>0</v>
      </c>
      <c r="N835" s="8">
        <f>IFERROR(__xludf.DUMMYFUNCTION("""COMPUTED_VALUE"""),16.0)</f>
        <v>16</v>
      </c>
      <c r="O835" s="8"/>
      <c r="P835" s="8"/>
      <c r="Q835" s="8"/>
      <c r="R835" s="8"/>
      <c r="S835" s="8"/>
      <c r="T835" s="8"/>
      <c r="U835" s="8"/>
      <c r="V835" s="8"/>
      <c r="W835" s="8"/>
      <c r="X835" s="8"/>
      <c r="Y835" s="8"/>
      <c r="Z835" s="8"/>
    </row>
    <row r="836">
      <c r="A836" s="8">
        <f>IFERROR(__xludf.DUMMYFUNCTION("""COMPUTED_VALUE"""),1246.0)</f>
        <v>1246</v>
      </c>
      <c r="B836" s="8" t="str">
        <f>IFERROR(__xludf.DUMMYFUNCTION("""COMPUTED_VALUE"""),"perennial")</f>
        <v>perennial</v>
      </c>
      <c r="C836" s="8" t="str">
        <f>IFERROR(__xludf.DUMMYFUNCTION("""COMPUTED_VALUE"""),"graft")</f>
        <v>graft</v>
      </c>
      <c r="D836" s="55" t="str">
        <f>IFERROR(__xludf.DUMMYFUNCTION("""COMPUTED_VALUE"""),"Eugenia uniflora")</f>
        <v>Eugenia uniflora</v>
      </c>
      <c r="E836" s="8" t="str">
        <f>IFERROR(__xludf.DUMMYFUNCTION("""COMPUTED_VALUE"""),"Red Seedling")</f>
        <v>Red Seedling</v>
      </c>
      <c r="F836" s="8" t="str">
        <f>IFERROR(__xludf.DUMMYFUNCTION("""COMPUTED_VALUE"""),"Surinam Cherry")</f>
        <v>Surinam Cherry</v>
      </c>
      <c r="G836" s="8" t="str">
        <f>IFERROR(__xludf.DUMMYFUNCTION("""COMPUTED_VALUE"""),"Cerise du Suriname")</f>
        <v>Cerise du Suriname</v>
      </c>
      <c r="H836" s="8" t="str">
        <f>IFERROR(__xludf.DUMMYFUNCTION("""COMPUTED_VALUE"""),"seed")</f>
        <v>seed</v>
      </c>
      <c r="I836" s="8"/>
      <c r="J836" s="8"/>
      <c r="K836" s="8"/>
      <c r="L836" s="8">
        <f>IFERROR(__xludf.DUMMYFUNCTION("""COMPUTED_VALUE"""),1.0)</f>
        <v>1</v>
      </c>
      <c r="M836" s="8">
        <f>IFERROR(__xludf.DUMMYFUNCTION("""COMPUTED_VALUE"""),0.0)</f>
        <v>0</v>
      </c>
      <c r="N836" s="8">
        <f>IFERROR(__xludf.DUMMYFUNCTION("""COMPUTED_VALUE"""),16.0)</f>
        <v>16</v>
      </c>
      <c r="O836" s="8"/>
      <c r="P836" s="8"/>
      <c r="Q836" s="8"/>
      <c r="R836" s="8"/>
      <c r="S836" s="8"/>
      <c r="T836" s="8"/>
      <c r="U836" s="8"/>
      <c r="V836" s="8"/>
      <c r="W836" s="8"/>
      <c r="X836" s="8"/>
      <c r="Y836" s="8"/>
      <c r="Z836" s="8"/>
    </row>
    <row r="837">
      <c r="A837" s="8">
        <f>IFERROR(__xludf.DUMMYFUNCTION("""COMPUTED_VALUE"""),1247.0)</f>
        <v>1247</v>
      </c>
      <c r="B837" s="8" t="str">
        <f>IFERROR(__xludf.DUMMYFUNCTION("""COMPUTED_VALUE"""),"perennial")</f>
        <v>perennial</v>
      </c>
      <c r="C837" s="8" t="str">
        <f>IFERROR(__xludf.DUMMYFUNCTION("""COMPUTED_VALUE"""),"graft")</f>
        <v>graft</v>
      </c>
      <c r="D837" s="55" t="str">
        <f>IFERROR(__xludf.DUMMYFUNCTION("""COMPUTED_VALUE"""),"Eugenia uniflora")</f>
        <v>Eugenia uniflora</v>
      </c>
      <c r="E837" s="8" t="str">
        <f>IFERROR(__xludf.DUMMYFUNCTION("""COMPUTED_VALUE"""),"Red Seedling")</f>
        <v>Red Seedling</v>
      </c>
      <c r="F837" s="8" t="str">
        <f>IFERROR(__xludf.DUMMYFUNCTION("""COMPUTED_VALUE"""),"Surinam Cherry")</f>
        <v>Surinam Cherry</v>
      </c>
      <c r="G837" s="8" t="str">
        <f>IFERROR(__xludf.DUMMYFUNCTION("""COMPUTED_VALUE"""),"Cerise du Suriname")</f>
        <v>Cerise du Suriname</v>
      </c>
      <c r="H837" s="8" t="str">
        <f>IFERROR(__xludf.DUMMYFUNCTION("""COMPUTED_VALUE"""),"seed")</f>
        <v>seed</v>
      </c>
      <c r="I837" s="8"/>
      <c r="J837" s="8"/>
      <c r="K837" s="8"/>
      <c r="L837" s="8">
        <f>IFERROR(__xludf.DUMMYFUNCTION("""COMPUTED_VALUE"""),1.0)</f>
        <v>1</v>
      </c>
      <c r="M837" s="8">
        <f>IFERROR(__xludf.DUMMYFUNCTION("""COMPUTED_VALUE"""),0.0)</f>
        <v>0</v>
      </c>
      <c r="N837" s="8">
        <f>IFERROR(__xludf.DUMMYFUNCTION("""COMPUTED_VALUE"""),16.0)</f>
        <v>16</v>
      </c>
      <c r="O837" s="8"/>
      <c r="P837" s="8"/>
      <c r="Q837" s="8"/>
      <c r="R837" s="8"/>
      <c r="S837" s="8"/>
      <c r="T837" s="8"/>
      <c r="U837" s="8"/>
      <c r="V837" s="8"/>
      <c r="W837" s="8"/>
      <c r="X837" s="8"/>
      <c r="Y837" s="8"/>
      <c r="Z837" s="8"/>
    </row>
    <row r="838">
      <c r="A838" s="8">
        <f>IFERROR(__xludf.DUMMYFUNCTION("""COMPUTED_VALUE"""),1248.0)</f>
        <v>1248</v>
      </c>
      <c r="B838" s="8" t="str">
        <f>IFERROR(__xludf.DUMMYFUNCTION("""COMPUTED_VALUE"""),"perennial")</f>
        <v>perennial</v>
      </c>
      <c r="C838" s="8" t="str">
        <f>IFERROR(__xludf.DUMMYFUNCTION("""COMPUTED_VALUE"""),"graft")</f>
        <v>graft</v>
      </c>
      <c r="D838" s="55" t="str">
        <f>IFERROR(__xludf.DUMMYFUNCTION("""COMPUTED_VALUE"""),"Eugenia uniflora")</f>
        <v>Eugenia uniflora</v>
      </c>
      <c r="E838" s="8" t="str">
        <f>IFERROR(__xludf.DUMMYFUNCTION("""COMPUTED_VALUE"""),"Red Seedling")</f>
        <v>Red Seedling</v>
      </c>
      <c r="F838" s="8" t="str">
        <f>IFERROR(__xludf.DUMMYFUNCTION("""COMPUTED_VALUE"""),"Surinam Cherry")</f>
        <v>Surinam Cherry</v>
      </c>
      <c r="G838" s="8" t="str">
        <f>IFERROR(__xludf.DUMMYFUNCTION("""COMPUTED_VALUE"""),"Cerise du Suriname")</f>
        <v>Cerise du Suriname</v>
      </c>
      <c r="H838" s="8" t="str">
        <f>IFERROR(__xludf.DUMMYFUNCTION("""COMPUTED_VALUE"""),"seed")</f>
        <v>seed</v>
      </c>
      <c r="I838" s="8"/>
      <c r="J838" s="8"/>
      <c r="K838" s="8"/>
      <c r="L838" s="8">
        <f>IFERROR(__xludf.DUMMYFUNCTION("""COMPUTED_VALUE"""),1.0)</f>
        <v>1</v>
      </c>
      <c r="M838" s="8">
        <f>IFERROR(__xludf.DUMMYFUNCTION("""COMPUTED_VALUE"""),0.0)</f>
        <v>0</v>
      </c>
      <c r="N838" s="8">
        <f>IFERROR(__xludf.DUMMYFUNCTION("""COMPUTED_VALUE"""),16.0)</f>
        <v>16</v>
      </c>
      <c r="O838" s="8"/>
      <c r="P838" s="8"/>
      <c r="Q838" s="8"/>
      <c r="R838" s="8"/>
      <c r="S838" s="8"/>
      <c r="T838" s="8"/>
      <c r="U838" s="8"/>
      <c r="V838" s="8"/>
      <c r="W838" s="8"/>
      <c r="X838" s="8"/>
      <c r="Y838" s="8"/>
      <c r="Z838" s="8"/>
    </row>
    <row r="839">
      <c r="A839" s="8">
        <f>IFERROR(__xludf.DUMMYFUNCTION("""COMPUTED_VALUE"""),1249.0)</f>
        <v>1249</v>
      </c>
      <c r="B839" s="8" t="str">
        <f>IFERROR(__xludf.DUMMYFUNCTION("""COMPUTED_VALUE"""),"perennial")</f>
        <v>perennial</v>
      </c>
      <c r="C839" s="8" t="str">
        <f>IFERROR(__xludf.DUMMYFUNCTION("""COMPUTED_VALUE"""),"graft")</f>
        <v>graft</v>
      </c>
      <c r="D839" s="55" t="str">
        <f>IFERROR(__xludf.DUMMYFUNCTION("""COMPUTED_VALUE"""),"Eugenia uniflora")</f>
        <v>Eugenia uniflora</v>
      </c>
      <c r="E839" s="8" t="str">
        <f>IFERROR(__xludf.DUMMYFUNCTION("""COMPUTED_VALUE"""),"Red Seedling")</f>
        <v>Red Seedling</v>
      </c>
      <c r="F839" s="8" t="str">
        <f>IFERROR(__xludf.DUMMYFUNCTION("""COMPUTED_VALUE"""),"Surinam Cherry")</f>
        <v>Surinam Cherry</v>
      </c>
      <c r="G839" s="8" t="str">
        <f>IFERROR(__xludf.DUMMYFUNCTION("""COMPUTED_VALUE"""),"Cerise du Suriname")</f>
        <v>Cerise du Suriname</v>
      </c>
      <c r="H839" s="8" t="str">
        <f>IFERROR(__xludf.DUMMYFUNCTION("""COMPUTED_VALUE"""),"seed")</f>
        <v>seed</v>
      </c>
      <c r="I839" s="8"/>
      <c r="J839" s="8"/>
      <c r="K839" s="8"/>
      <c r="L839" s="8">
        <f>IFERROR(__xludf.DUMMYFUNCTION("""COMPUTED_VALUE"""),1.0)</f>
        <v>1</v>
      </c>
      <c r="M839" s="8">
        <f>IFERROR(__xludf.DUMMYFUNCTION("""COMPUTED_VALUE"""),0.0)</f>
        <v>0</v>
      </c>
      <c r="N839" s="8">
        <f>IFERROR(__xludf.DUMMYFUNCTION("""COMPUTED_VALUE"""),16.0)</f>
        <v>16</v>
      </c>
      <c r="O839" s="8"/>
      <c r="P839" s="8"/>
      <c r="Q839" s="8"/>
      <c r="R839" s="8"/>
      <c r="S839" s="8"/>
      <c r="T839" s="8"/>
      <c r="U839" s="8"/>
      <c r="V839" s="8"/>
      <c r="W839" s="8"/>
      <c r="X839" s="8"/>
      <c r="Y839" s="8"/>
      <c r="Z839" s="8"/>
    </row>
    <row r="840">
      <c r="A840" s="8">
        <f>IFERROR(__xludf.DUMMYFUNCTION("""COMPUTED_VALUE"""),1250.0)</f>
        <v>1250</v>
      </c>
      <c r="B840" s="8" t="str">
        <f>IFERROR(__xludf.DUMMYFUNCTION("""COMPUTED_VALUE"""),"perennial")</f>
        <v>perennial</v>
      </c>
      <c r="C840" s="8" t="str">
        <f>IFERROR(__xludf.DUMMYFUNCTION("""COMPUTED_VALUE"""),"graft")</f>
        <v>graft</v>
      </c>
      <c r="D840" s="55" t="str">
        <f>IFERROR(__xludf.DUMMYFUNCTION("""COMPUTED_VALUE"""),"Eugenia uniflora")</f>
        <v>Eugenia uniflora</v>
      </c>
      <c r="E840" s="8" t="str">
        <f>IFERROR(__xludf.DUMMYFUNCTION("""COMPUTED_VALUE"""),"Red Seedling")</f>
        <v>Red Seedling</v>
      </c>
      <c r="F840" s="8" t="str">
        <f>IFERROR(__xludf.DUMMYFUNCTION("""COMPUTED_VALUE"""),"Surinam Cherry")</f>
        <v>Surinam Cherry</v>
      </c>
      <c r="G840" s="8" t="str">
        <f>IFERROR(__xludf.DUMMYFUNCTION("""COMPUTED_VALUE"""),"Cerise du Suriname")</f>
        <v>Cerise du Suriname</v>
      </c>
      <c r="H840" s="8" t="str">
        <f>IFERROR(__xludf.DUMMYFUNCTION("""COMPUTED_VALUE"""),"seed")</f>
        <v>seed</v>
      </c>
      <c r="I840" s="8"/>
      <c r="J840" s="8"/>
      <c r="K840" s="8"/>
      <c r="L840" s="8">
        <f>IFERROR(__xludf.DUMMYFUNCTION("""COMPUTED_VALUE"""),1.0)</f>
        <v>1</v>
      </c>
      <c r="M840" s="8">
        <f>IFERROR(__xludf.DUMMYFUNCTION("""COMPUTED_VALUE"""),0.0)</f>
        <v>0</v>
      </c>
      <c r="N840" s="8">
        <f>IFERROR(__xludf.DUMMYFUNCTION("""COMPUTED_VALUE"""),16.0)</f>
        <v>16</v>
      </c>
      <c r="O840" s="8"/>
      <c r="P840" s="8"/>
      <c r="Q840" s="8"/>
      <c r="R840" s="8"/>
      <c r="S840" s="8"/>
      <c r="T840" s="8"/>
      <c r="U840" s="8"/>
      <c r="V840" s="8"/>
      <c r="W840" s="8"/>
      <c r="X840" s="8"/>
      <c r="Y840" s="8"/>
      <c r="Z840" s="8"/>
    </row>
    <row r="841">
      <c r="A841" s="8">
        <f>IFERROR(__xludf.DUMMYFUNCTION("""COMPUTED_VALUE"""),1251.0)</f>
        <v>1251</v>
      </c>
      <c r="B841" s="8" t="str">
        <f>IFERROR(__xludf.DUMMYFUNCTION("""COMPUTED_VALUE"""),"perennial")</f>
        <v>perennial</v>
      </c>
      <c r="C841" s="8" t="str">
        <f>IFERROR(__xludf.DUMMYFUNCTION("""COMPUTED_VALUE"""),"graft")</f>
        <v>graft</v>
      </c>
      <c r="D841" s="55" t="str">
        <f>IFERROR(__xludf.DUMMYFUNCTION("""COMPUTED_VALUE"""),"Eugenia uniflora")</f>
        <v>Eugenia uniflora</v>
      </c>
      <c r="E841" s="8" t="str">
        <f>IFERROR(__xludf.DUMMYFUNCTION("""COMPUTED_VALUE"""),"Red Seedling")</f>
        <v>Red Seedling</v>
      </c>
      <c r="F841" s="8" t="str">
        <f>IFERROR(__xludf.DUMMYFUNCTION("""COMPUTED_VALUE"""),"Surinam Cherry")</f>
        <v>Surinam Cherry</v>
      </c>
      <c r="G841" s="8" t="str">
        <f>IFERROR(__xludf.DUMMYFUNCTION("""COMPUTED_VALUE"""),"Cerise du Suriname")</f>
        <v>Cerise du Suriname</v>
      </c>
      <c r="H841" s="8"/>
      <c r="I841" s="8"/>
      <c r="J841" s="8"/>
      <c r="K841" s="8"/>
      <c r="L841" s="8">
        <f>IFERROR(__xludf.DUMMYFUNCTION("""COMPUTED_VALUE"""),1.0)</f>
        <v>1</v>
      </c>
      <c r="M841" s="8">
        <f>IFERROR(__xludf.DUMMYFUNCTION("""COMPUTED_VALUE"""),0.0)</f>
        <v>0</v>
      </c>
      <c r="N841" s="8">
        <f>IFERROR(__xludf.DUMMYFUNCTION("""COMPUTED_VALUE"""),0.0)</f>
        <v>0</v>
      </c>
      <c r="O841" s="8"/>
      <c r="P841" s="8"/>
      <c r="Q841" s="8"/>
      <c r="R841" s="8"/>
      <c r="S841" s="8"/>
      <c r="T841" s="8"/>
      <c r="U841" s="8"/>
      <c r="V841" s="8"/>
      <c r="W841" s="8"/>
      <c r="X841" s="8"/>
      <c r="Y841" s="8"/>
      <c r="Z841" s="8"/>
    </row>
    <row r="842">
      <c r="A842" s="8">
        <f>IFERROR(__xludf.DUMMYFUNCTION("""COMPUTED_VALUE"""),1252.0)</f>
        <v>1252</v>
      </c>
      <c r="B842" s="8" t="str">
        <f>IFERROR(__xludf.DUMMYFUNCTION("""COMPUTED_VALUE"""),"perennial")</f>
        <v>perennial</v>
      </c>
      <c r="C842" s="8" t="str">
        <f>IFERROR(__xludf.DUMMYFUNCTION("""COMPUTED_VALUE"""),"graft")</f>
        <v>graft</v>
      </c>
      <c r="D842" s="55" t="str">
        <f>IFERROR(__xludf.DUMMYFUNCTION("""COMPUTED_VALUE"""),"Eugenia uniflora")</f>
        <v>Eugenia uniflora</v>
      </c>
      <c r="E842" s="8" t="str">
        <f>IFERROR(__xludf.DUMMYFUNCTION("""COMPUTED_VALUE"""),"Red Seedling")</f>
        <v>Red Seedling</v>
      </c>
      <c r="F842" s="8" t="str">
        <f>IFERROR(__xludf.DUMMYFUNCTION("""COMPUTED_VALUE"""),"Surinam Cherry")</f>
        <v>Surinam Cherry</v>
      </c>
      <c r="G842" s="8" t="str">
        <f>IFERROR(__xludf.DUMMYFUNCTION("""COMPUTED_VALUE"""),"Cerise du Suriname")</f>
        <v>Cerise du Suriname</v>
      </c>
      <c r="H842" s="8"/>
      <c r="I842" s="8"/>
      <c r="J842" s="8"/>
      <c r="K842" s="8"/>
      <c r="L842" s="8">
        <f>IFERROR(__xludf.DUMMYFUNCTION("""COMPUTED_VALUE"""),1.0)</f>
        <v>1</v>
      </c>
      <c r="M842" s="8">
        <f>IFERROR(__xludf.DUMMYFUNCTION("""COMPUTED_VALUE"""),0.0)</f>
        <v>0</v>
      </c>
      <c r="N842" s="8">
        <f>IFERROR(__xludf.DUMMYFUNCTION("""COMPUTED_VALUE"""),0.0)</f>
        <v>0</v>
      </c>
      <c r="O842" s="8"/>
      <c r="P842" s="8"/>
      <c r="Q842" s="8"/>
      <c r="R842" s="8"/>
      <c r="S842" s="8"/>
      <c r="T842" s="8"/>
      <c r="U842" s="8"/>
      <c r="V842" s="8"/>
      <c r="W842" s="8"/>
      <c r="X842" s="8"/>
      <c r="Y842" s="8"/>
      <c r="Z842" s="8"/>
    </row>
    <row r="843">
      <c r="A843" s="8">
        <f>IFERROR(__xludf.DUMMYFUNCTION("""COMPUTED_VALUE"""),1253.0)</f>
        <v>1253</v>
      </c>
      <c r="B843" s="8" t="str">
        <f>IFERROR(__xludf.DUMMYFUNCTION("""COMPUTED_VALUE"""),"perennial")</f>
        <v>perennial</v>
      </c>
      <c r="C843" s="8" t="str">
        <f>IFERROR(__xludf.DUMMYFUNCTION("""COMPUTED_VALUE"""),"graft")</f>
        <v>graft</v>
      </c>
      <c r="D843" s="55" t="str">
        <f>IFERROR(__xludf.DUMMYFUNCTION("""COMPUTED_VALUE"""),"Eugenia uniflora")</f>
        <v>Eugenia uniflora</v>
      </c>
      <c r="E843" s="8" t="str">
        <f>IFERROR(__xludf.DUMMYFUNCTION("""COMPUTED_VALUE"""),"Red Seedling")</f>
        <v>Red Seedling</v>
      </c>
      <c r="F843" s="8" t="str">
        <f>IFERROR(__xludf.DUMMYFUNCTION("""COMPUTED_VALUE"""),"Surinam Cherry")</f>
        <v>Surinam Cherry</v>
      </c>
      <c r="G843" s="8" t="str">
        <f>IFERROR(__xludf.DUMMYFUNCTION("""COMPUTED_VALUE"""),"Cerise du Suriname")</f>
        <v>Cerise du Suriname</v>
      </c>
      <c r="H843" s="8"/>
      <c r="I843" s="8"/>
      <c r="J843" s="8"/>
      <c r="K843" s="8"/>
      <c r="L843" s="8">
        <f>IFERROR(__xludf.DUMMYFUNCTION("""COMPUTED_VALUE"""),1.0)</f>
        <v>1</v>
      </c>
      <c r="M843" s="8">
        <f>IFERROR(__xludf.DUMMYFUNCTION("""COMPUTED_VALUE"""),0.0)</f>
        <v>0</v>
      </c>
      <c r="N843" s="8">
        <f>IFERROR(__xludf.DUMMYFUNCTION("""COMPUTED_VALUE"""),0.0)</f>
        <v>0</v>
      </c>
      <c r="O843" s="8"/>
      <c r="P843" s="8"/>
      <c r="Q843" s="8"/>
      <c r="R843" s="8"/>
      <c r="S843" s="8"/>
      <c r="T843" s="8"/>
      <c r="U843" s="8"/>
      <c r="V843" s="8"/>
      <c r="W843" s="8"/>
      <c r="X843" s="8"/>
      <c r="Y843" s="8"/>
      <c r="Z843" s="8"/>
    </row>
    <row r="844">
      <c r="A844" s="8">
        <f>IFERROR(__xludf.DUMMYFUNCTION("""COMPUTED_VALUE"""),1254.0)</f>
        <v>1254</v>
      </c>
      <c r="B844" s="8" t="str">
        <f>IFERROR(__xludf.DUMMYFUNCTION("""COMPUTED_VALUE"""),"perennial")</f>
        <v>perennial</v>
      </c>
      <c r="C844" s="8" t="str">
        <f>IFERROR(__xludf.DUMMYFUNCTION("""COMPUTED_VALUE"""),"graft")</f>
        <v>graft</v>
      </c>
      <c r="D844" s="55" t="str">
        <f>IFERROR(__xludf.DUMMYFUNCTION("""COMPUTED_VALUE"""),"Eugenia uniflora")</f>
        <v>Eugenia uniflora</v>
      </c>
      <c r="E844" s="8" t="str">
        <f>IFERROR(__xludf.DUMMYFUNCTION("""COMPUTED_VALUE"""),"Red Seedling")</f>
        <v>Red Seedling</v>
      </c>
      <c r="F844" s="8" t="str">
        <f>IFERROR(__xludf.DUMMYFUNCTION("""COMPUTED_VALUE"""),"Surinam Cherry")</f>
        <v>Surinam Cherry</v>
      </c>
      <c r="G844" s="8" t="str">
        <f>IFERROR(__xludf.DUMMYFUNCTION("""COMPUTED_VALUE"""),"Cerise du Suriname")</f>
        <v>Cerise du Suriname</v>
      </c>
      <c r="H844" s="8"/>
      <c r="I844" s="8"/>
      <c r="J844" s="8"/>
      <c r="K844" s="8"/>
      <c r="L844" s="8">
        <f>IFERROR(__xludf.DUMMYFUNCTION("""COMPUTED_VALUE"""),1.0)</f>
        <v>1</v>
      </c>
      <c r="M844" s="8">
        <f>IFERROR(__xludf.DUMMYFUNCTION("""COMPUTED_VALUE"""),0.0)</f>
        <v>0</v>
      </c>
      <c r="N844" s="8">
        <f>IFERROR(__xludf.DUMMYFUNCTION("""COMPUTED_VALUE"""),0.0)</f>
        <v>0</v>
      </c>
      <c r="O844" s="8"/>
      <c r="P844" s="8"/>
      <c r="Q844" s="8"/>
      <c r="R844" s="8"/>
      <c r="S844" s="8"/>
      <c r="T844" s="8"/>
      <c r="U844" s="8"/>
      <c r="V844" s="8"/>
      <c r="W844" s="8"/>
      <c r="X844" s="8"/>
      <c r="Y844" s="8"/>
      <c r="Z844" s="8"/>
    </row>
    <row r="845">
      <c r="A845" s="8">
        <f>IFERROR(__xludf.DUMMYFUNCTION("""COMPUTED_VALUE"""),1255.0)</f>
        <v>1255</v>
      </c>
      <c r="B845" s="8" t="str">
        <f>IFERROR(__xludf.DUMMYFUNCTION("""COMPUTED_VALUE"""),"perennial")</f>
        <v>perennial</v>
      </c>
      <c r="C845" s="8" t="str">
        <f>IFERROR(__xludf.DUMMYFUNCTION("""COMPUTED_VALUE"""),"graft")</f>
        <v>graft</v>
      </c>
      <c r="D845" s="55" t="str">
        <f>IFERROR(__xludf.DUMMYFUNCTION("""COMPUTED_VALUE"""),"Eugenia uniflora")</f>
        <v>Eugenia uniflora</v>
      </c>
      <c r="E845" s="8" t="str">
        <f>IFERROR(__xludf.DUMMYFUNCTION("""COMPUTED_VALUE"""),"Red Seedling")</f>
        <v>Red Seedling</v>
      </c>
      <c r="F845" s="8" t="str">
        <f>IFERROR(__xludf.DUMMYFUNCTION("""COMPUTED_VALUE"""),"Surinam Cherry")</f>
        <v>Surinam Cherry</v>
      </c>
      <c r="G845" s="8" t="str">
        <f>IFERROR(__xludf.DUMMYFUNCTION("""COMPUTED_VALUE"""),"Cerise du Suriname")</f>
        <v>Cerise du Suriname</v>
      </c>
      <c r="H845" s="8"/>
      <c r="I845" s="8"/>
      <c r="J845" s="8"/>
      <c r="K845" s="8"/>
      <c r="L845" s="8">
        <f>IFERROR(__xludf.DUMMYFUNCTION("""COMPUTED_VALUE"""),1.0)</f>
        <v>1</v>
      </c>
      <c r="M845" s="8">
        <f>IFERROR(__xludf.DUMMYFUNCTION("""COMPUTED_VALUE"""),0.0)</f>
        <v>0</v>
      </c>
      <c r="N845" s="8">
        <f>IFERROR(__xludf.DUMMYFUNCTION("""COMPUTED_VALUE"""),0.0)</f>
        <v>0</v>
      </c>
      <c r="O845" s="8"/>
      <c r="P845" s="8"/>
      <c r="Q845" s="8"/>
      <c r="R845" s="8"/>
      <c r="S845" s="8"/>
      <c r="T845" s="8"/>
      <c r="U845" s="8"/>
      <c r="V845" s="8"/>
      <c r="W845" s="8"/>
      <c r="X845" s="8"/>
      <c r="Y845" s="8"/>
      <c r="Z845" s="8"/>
    </row>
    <row r="846">
      <c r="A846" s="8">
        <f>IFERROR(__xludf.DUMMYFUNCTION("""COMPUTED_VALUE"""),1256.0)</f>
        <v>1256</v>
      </c>
      <c r="B846" s="8" t="str">
        <f>IFERROR(__xludf.DUMMYFUNCTION("""COMPUTED_VALUE"""),"perennial")</f>
        <v>perennial</v>
      </c>
      <c r="C846" s="8" t="str">
        <f>IFERROR(__xludf.DUMMYFUNCTION("""COMPUTED_VALUE"""),"graft")</f>
        <v>graft</v>
      </c>
      <c r="D846" s="55" t="str">
        <f>IFERROR(__xludf.DUMMYFUNCTION("""COMPUTED_VALUE"""),"Eugenia uniflora")</f>
        <v>Eugenia uniflora</v>
      </c>
      <c r="E846" s="8" t="str">
        <f>IFERROR(__xludf.DUMMYFUNCTION("""COMPUTED_VALUE"""),"Red Seedling")</f>
        <v>Red Seedling</v>
      </c>
      <c r="F846" s="8" t="str">
        <f>IFERROR(__xludf.DUMMYFUNCTION("""COMPUTED_VALUE"""),"Surinam Cherry")</f>
        <v>Surinam Cherry</v>
      </c>
      <c r="G846" s="8" t="str">
        <f>IFERROR(__xludf.DUMMYFUNCTION("""COMPUTED_VALUE"""),"Cerise du Suriname")</f>
        <v>Cerise du Suriname</v>
      </c>
      <c r="H846" s="8"/>
      <c r="I846" s="8"/>
      <c r="J846" s="8"/>
      <c r="K846" s="8"/>
      <c r="L846" s="8">
        <f>IFERROR(__xludf.DUMMYFUNCTION("""COMPUTED_VALUE"""),1.0)</f>
        <v>1</v>
      </c>
      <c r="M846" s="8">
        <f>IFERROR(__xludf.DUMMYFUNCTION("""COMPUTED_VALUE"""),0.0)</f>
        <v>0</v>
      </c>
      <c r="N846" s="8">
        <f>IFERROR(__xludf.DUMMYFUNCTION("""COMPUTED_VALUE"""),0.0)</f>
        <v>0</v>
      </c>
      <c r="O846" s="8"/>
      <c r="P846" s="8"/>
      <c r="Q846" s="8"/>
      <c r="R846" s="8"/>
      <c r="S846" s="8"/>
      <c r="T846" s="8"/>
      <c r="U846" s="8"/>
      <c r="V846" s="8"/>
      <c r="W846" s="8"/>
      <c r="X846" s="8"/>
      <c r="Y846" s="8"/>
      <c r="Z846" s="8"/>
    </row>
    <row r="847">
      <c r="A847" s="8">
        <f>IFERROR(__xludf.DUMMYFUNCTION("""COMPUTED_VALUE"""),1257.0)</f>
        <v>1257</v>
      </c>
      <c r="B847" s="8" t="str">
        <f>IFERROR(__xludf.DUMMYFUNCTION("""COMPUTED_VALUE"""),"perennial")</f>
        <v>perennial</v>
      </c>
      <c r="C847" s="8" t="str">
        <f>IFERROR(__xludf.DUMMYFUNCTION("""COMPUTED_VALUE"""),"graft")</f>
        <v>graft</v>
      </c>
      <c r="D847" s="55" t="str">
        <f>IFERROR(__xludf.DUMMYFUNCTION("""COMPUTED_VALUE"""),"Eugenia uniflora")</f>
        <v>Eugenia uniflora</v>
      </c>
      <c r="E847" s="8" t="str">
        <f>IFERROR(__xludf.DUMMYFUNCTION("""COMPUTED_VALUE"""),"Red Seedling")</f>
        <v>Red Seedling</v>
      </c>
      <c r="F847" s="8" t="str">
        <f>IFERROR(__xludf.DUMMYFUNCTION("""COMPUTED_VALUE"""),"Surinam Cherry")</f>
        <v>Surinam Cherry</v>
      </c>
      <c r="G847" s="8" t="str">
        <f>IFERROR(__xludf.DUMMYFUNCTION("""COMPUTED_VALUE"""),"Cerise du Suriname")</f>
        <v>Cerise du Suriname</v>
      </c>
      <c r="H847" s="8"/>
      <c r="I847" s="8"/>
      <c r="J847" s="8"/>
      <c r="K847" s="8"/>
      <c r="L847" s="8">
        <f>IFERROR(__xludf.DUMMYFUNCTION("""COMPUTED_VALUE"""),1.0)</f>
        <v>1</v>
      </c>
      <c r="M847" s="8">
        <f>IFERROR(__xludf.DUMMYFUNCTION("""COMPUTED_VALUE"""),0.0)</f>
        <v>0</v>
      </c>
      <c r="N847" s="8">
        <f>IFERROR(__xludf.DUMMYFUNCTION("""COMPUTED_VALUE"""),0.0)</f>
        <v>0</v>
      </c>
      <c r="O847" s="8"/>
      <c r="P847" s="8"/>
      <c r="Q847" s="8"/>
      <c r="R847" s="8"/>
      <c r="S847" s="8"/>
      <c r="T847" s="8"/>
      <c r="U847" s="8"/>
      <c r="V847" s="8"/>
      <c r="W847" s="8"/>
      <c r="X847" s="8"/>
      <c r="Y847" s="8"/>
      <c r="Z847" s="8"/>
    </row>
    <row r="848">
      <c r="A848" s="8">
        <f>IFERROR(__xludf.DUMMYFUNCTION("""COMPUTED_VALUE"""),1258.0)</f>
        <v>1258</v>
      </c>
      <c r="B848" s="8" t="str">
        <f>IFERROR(__xludf.DUMMYFUNCTION("""COMPUTED_VALUE"""),"perennial")</f>
        <v>perennial</v>
      </c>
      <c r="C848" s="8" t="str">
        <f>IFERROR(__xludf.DUMMYFUNCTION("""COMPUTED_VALUE"""),"graft")</f>
        <v>graft</v>
      </c>
      <c r="D848" s="55" t="str">
        <f>IFERROR(__xludf.DUMMYFUNCTION("""COMPUTED_VALUE"""),"Eugenia uniflora")</f>
        <v>Eugenia uniflora</v>
      </c>
      <c r="E848" s="8" t="str">
        <f>IFERROR(__xludf.DUMMYFUNCTION("""COMPUTED_VALUE"""),"Red Seedling")</f>
        <v>Red Seedling</v>
      </c>
      <c r="F848" s="8" t="str">
        <f>IFERROR(__xludf.DUMMYFUNCTION("""COMPUTED_VALUE"""),"Surinam Cherry")</f>
        <v>Surinam Cherry</v>
      </c>
      <c r="G848" s="8" t="str">
        <f>IFERROR(__xludf.DUMMYFUNCTION("""COMPUTED_VALUE"""),"Cerise du Suriname")</f>
        <v>Cerise du Suriname</v>
      </c>
      <c r="H848" s="8"/>
      <c r="I848" s="8"/>
      <c r="J848" s="8"/>
      <c r="K848" s="8"/>
      <c r="L848" s="8">
        <f>IFERROR(__xludf.DUMMYFUNCTION("""COMPUTED_VALUE"""),1.0)</f>
        <v>1</v>
      </c>
      <c r="M848" s="8">
        <f>IFERROR(__xludf.DUMMYFUNCTION("""COMPUTED_VALUE"""),0.0)</f>
        <v>0</v>
      </c>
      <c r="N848" s="8">
        <f>IFERROR(__xludf.DUMMYFUNCTION("""COMPUTED_VALUE"""),0.0)</f>
        <v>0</v>
      </c>
      <c r="O848" s="8"/>
      <c r="P848" s="8"/>
      <c r="Q848" s="8"/>
      <c r="R848" s="8"/>
      <c r="S848" s="8"/>
      <c r="T848" s="8"/>
      <c r="U848" s="8"/>
      <c r="V848" s="8"/>
      <c r="W848" s="8"/>
      <c r="X848" s="8"/>
      <c r="Y848" s="8"/>
      <c r="Z848" s="8"/>
    </row>
    <row r="849">
      <c r="A849" s="8">
        <f>IFERROR(__xludf.DUMMYFUNCTION("""COMPUTED_VALUE"""),1259.0)</f>
        <v>1259</v>
      </c>
      <c r="B849" s="8" t="str">
        <f>IFERROR(__xludf.DUMMYFUNCTION("""COMPUTED_VALUE"""),"perennial")</f>
        <v>perennial</v>
      </c>
      <c r="C849" s="8" t="str">
        <f>IFERROR(__xludf.DUMMYFUNCTION("""COMPUTED_VALUE"""),"graft")</f>
        <v>graft</v>
      </c>
      <c r="D849" s="55" t="str">
        <f>IFERROR(__xludf.DUMMYFUNCTION("""COMPUTED_VALUE"""),"Eugenia uniflora")</f>
        <v>Eugenia uniflora</v>
      </c>
      <c r="E849" s="8" t="str">
        <f>IFERROR(__xludf.DUMMYFUNCTION("""COMPUTED_VALUE"""),"Red Seedling")</f>
        <v>Red Seedling</v>
      </c>
      <c r="F849" s="8" t="str">
        <f>IFERROR(__xludf.DUMMYFUNCTION("""COMPUTED_VALUE"""),"Surinam Cherry")</f>
        <v>Surinam Cherry</v>
      </c>
      <c r="G849" s="8" t="str">
        <f>IFERROR(__xludf.DUMMYFUNCTION("""COMPUTED_VALUE"""),"Cerise du Suriname")</f>
        <v>Cerise du Suriname</v>
      </c>
      <c r="H849" s="8"/>
      <c r="I849" s="8"/>
      <c r="J849" s="8"/>
      <c r="K849" s="8"/>
      <c r="L849" s="8">
        <f>IFERROR(__xludf.DUMMYFUNCTION("""COMPUTED_VALUE"""),1.0)</f>
        <v>1</v>
      </c>
      <c r="M849" s="8">
        <f>IFERROR(__xludf.DUMMYFUNCTION("""COMPUTED_VALUE"""),0.0)</f>
        <v>0</v>
      </c>
      <c r="N849" s="8">
        <f>IFERROR(__xludf.DUMMYFUNCTION("""COMPUTED_VALUE"""),0.0)</f>
        <v>0</v>
      </c>
      <c r="O849" s="8"/>
      <c r="P849" s="8"/>
      <c r="Q849" s="8"/>
      <c r="R849" s="8"/>
      <c r="S849" s="8"/>
      <c r="T849" s="8"/>
      <c r="U849" s="8"/>
      <c r="V849" s="8"/>
      <c r="W849" s="8"/>
      <c r="X849" s="8"/>
      <c r="Y849" s="8"/>
      <c r="Z849" s="8"/>
    </row>
    <row r="850">
      <c r="A850" s="8">
        <f>IFERROR(__xludf.DUMMYFUNCTION("""COMPUTED_VALUE"""),1260.0)</f>
        <v>1260</v>
      </c>
      <c r="B850" s="8" t="str">
        <f>IFERROR(__xludf.DUMMYFUNCTION("""COMPUTED_VALUE"""),"perennial")</f>
        <v>perennial</v>
      </c>
      <c r="C850" s="8" t="str">
        <f>IFERROR(__xludf.DUMMYFUNCTION("""COMPUTED_VALUE"""),"graft")</f>
        <v>graft</v>
      </c>
      <c r="D850" s="55" t="str">
        <f>IFERROR(__xludf.DUMMYFUNCTION("""COMPUTED_VALUE"""),"Eugenia uniflora")</f>
        <v>Eugenia uniflora</v>
      </c>
      <c r="E850" s="8" t="str">
        <f>IFERROR(__xludf.DUMMYFUNCTION("""COMPUTED_VALUE"""),"Red Seedling")</f>
        <v>Red Seedling</v>
      </c>
      <c r="F850" s="8" t="str">
        <f>IFERROR(__xludf.DUMMYFUNCTION("""COMPUTED_VALUE"""),"Surinam Cherry")</f>
        <v>Surinam Cherry</v>
      </c>
      <c r="G850" s="8" t="str">
        <f>IFERROR(__xludf.DUMMYFUNCTION("""COMPUTED_VALUE"""),"Cerise du Suriname")</f>
        <v>Cerise du Suriname</v>
      </c>
      <c r="H850" s="8"/>
      <c r="I850" s="8"/>
      <c r="J850" s="8"/>
      <c r="K850" s="8"/>
      <c r="L850" s="8">
        <f>IFERROR(__xludf.DUMMYFUNCTION("""COMPUTED_VALUE"""),1.0)</f>
        <v>1</v>
      </c>
      <c r="M850" s="8">
        <f>IFERROR(__xludf.DUMMYFUNCTION("""COMPUTED_VALUE"""),0.0)</f>
        <v>0</v>
      </c>
      <c r="N850" s="8">
        <f>IFERROR(__xludf.DUMMYFUNCTION("""COMPUTED_VALUE"""),0.0)</f>
        <v>0</v>
      </c>
      <c r="O850" s="8"/>
      <c r="P850" s="8"/>
      <c r="Q850" s="8"/>
      <c r="R850" s="8"/>
      <c r="S850" s="8"/>
      <c r="T850" s="8"/>
      <c r="U850" s="8"/>
      <c r="V850" s="8"/>
      <c r="W850" s="8"/>
      <c r="X850" s="8"/>
      <c r="Y850" s="8"/>
      <c r="Z850" s="8"/>
    </row>
    <row r="851">
      <c r="A851" s="8">
        <f>IFERROR(__xludf.DUMMYFUNCTION("""COMPUTED_VALUE"""),1261.0)</f>
        <v>1261</v>
      </c>
      <c r="B851" s="8" t="str">
        <f>IFERROR(__xludf.DUMMYFUNCTION("""COMPUTED_VALUE"""),"perennial")</f>
        <v>perennial</v>
      </c>
      <c r="C851" s="8" t="str">
        <f>IFERROR(__xludf.DUMMYFUNCTION("""COMPUTED_VALUE"""),"graft")</f>
        <v>graft</v>
      </c>
      <c r="D851" s="55" t="str">
        <f>IFERROR(__xludf.DUMMYFUNCTION("""COMPUTED_VALUE"""),"Eugenia uniflora")</f>
        <v>Eugenia uniflora</v>
      </c>
      <c r="E851" s="8" t="str">
        <f>IFERROR(__xludf.DUMMYFUNCTION("""COMPUTED_VALUE"""),"Red Seedling")</f>
        <v>Red Seedling</v>
      </c>
      <c r="F851" s="8" t="str">
        <f>IFERROR(__xludf.DUMMYFUNCTION("""COMPUTED_VALUE"""),"Surinam Cherry")</f>
        <v>Surinam Cherry</v>
      </c>
      <c r="G851" s="8" t="str">
        <f>IFERROR(__xludf.DUMMYFUNCTION("""COMPUTED_VALUE"""),"Cerise du Suriname")</f>
        <v>Cerise du Suriname</v>
      </c>
      <c r="H851" s="8"/>
      <c r="I851" s="8"/>
      <c r="J851" s="8"/>
      <c r="K851" s="8"/>
      <c r="L851" s="8">
        <f>IFERROR(__xludf.DUMMYFUNCTION("""COMPUTED_VALUE"""),1.0)</f>
        <v>1</v>
      </c>
      <c r="M851" s="8">
        <f>IFERROR(__xludf.DUMMYFUNCTION("""COMPUTED_VALUE"""),0.0)</f>
        <v>0</v>
      </c>
      <c r="N851" s="8">
        <f>IFERROR(__xludf.DUMMYFUNCTION("""COMPUTED_VALUE"""),0.0)</f>
        <v>0</v>
      </c>
      <c r="O851" s="8"/>
      <c r="P851" s="8"/>
      <c r="Q851" s="8"/>
      <c r="R851" s="8"/>
      <c r="S851" s="8"/>
      <c r="T851" s="8"/>
      <c r="U851" s="8"/>
      <c r="V851" s="8"/>
      <c r="W851" s="8"/>
      <c r="X851" s="8"/>
      <c r="Y851" s="8"/>
      <c r="Z851" s="8"/>
    </row>
    <row r="852">
      <c r="A852" s="8">
        <f>IFERROR(__xludf.DUMMYFUNCTION("""COMPUTED_VALUE"""),1262.0)</f>
        <v>1262</v>
      </c>
      <c r="B852" s="8" t="str">
        <f>IFERROR(__xludf.DUMMYFUNCTION("""COMPUTED_VALUE"""),"perennial")</f>
        <v>perennial</v>
      </c>
      <c r="C852" s="8" t="str">
        <f>IFERROR(__xludf.DUMMYFUNCTION("""COMPUTED_VALUE"""),"graft")</f>
        <v>graft</v>
      </c>
      <c r="D852" s="55" t="str">
        <f>IFERROR(__xludf.DUMMYFUNCTION("""COMPUTED_VALUE"""),"Eugenia uniflora")</f>
        <v>Eugenia uniflora</v>
      </c>
      <c r="E852" s="8" t="str">
        <f>IFERROR(__xludf.DUMMYFUNCTION("""COMPUTED_VALUE"""),"Red Seedling")</f>
        <v>Red Seedling</v>
      </c>
      <c r="F852" s="8" t="str">
        <f>IFERROR(__xludf.DUMMYFUNCTION("""COMPUTED_VALUE"""),"Surinam Cherry")</f>
        <v>Surinam Cherry</v>
      </c>
      <c r="G852" s="8" t="str">
        <f>IFERROR(__xludf.DUMMYFUNCTION("""COMPUTED_VALUE"""),"Cerise du Suriname")</f>
        <v>Cerise du Suriname</v>
      </c>
      <c r="H852" s="8"/>
      <c r="I852" s="8"/>
      <c r="J852" s="8"/>
      <c r="K852" s="8"/>
      <c r="L852" s="8">
        <f>IFERROR(__xludf.DUMMYFUNCTION("""COMPUTED_VALUE"""),1.0)</f>
        <v>1</v>
      </c>
      <c r="M852" s="8">
        <f>IFERROR(__xludf.DUMMYFUNCTION("""COMPUTED_VALUE"""),0.0)</f>
        <v>0</v>
      </c>
      <c r="N852" s="8">
        <f>IFERROR(__xludf.DUMMYFUNCTION("""COMPUTED_VALUE"""),0.0)</f>
        <v>0</v>
      </c>
      <c r="O852" s="8"/>
      <c r="P852" s="8"/>
      <c r="Q852" s="8"/>
      <c r="R852" s="8"/>
      <c r="S852" s="8"/>
      <c r="T852" s="8"/>
      <c r="U852" s="8"/>
      <c r="V852" s="8"/>
      <c r="W852" s="8"/>
      <c r="X852" s="8"/>
      <c r="Y852" s="8"/>
      <c r="Z852" s="8"/>
    </row>
    <row r="853">
      <c r="A853" s="8">
        <f>IFERROR(__xludf.DUMMYFUNCTION("""COMPUTED_VALUE"""),1263.0)</f>
        <v>1263</v>
      </c>
      <c r="B853" s="8" t="str">
        <f>IFERROR(__xludf.DUMMYFUNCTION("""COMPUTED_VALUE"""),"perennial")</f>
        <v>perennial</v>
      </c>
      <c r="C853" s="8" t="str">
        <f>IFERROR(__xludf.DUMMYFUNCTION("""COMPUTED_VALUE"""),"graft")</f>
        <v>graft</v>
      </c>
      <c r="D853" s="55" t="str">
        <f>IFERROR(__xludf.DUMMYFUNCTION("""COMPUTED_VALUE"""),"Eugenia uniflora")</f>
        <v>Eugenia uniflora</v>
      </c>
      <c r="E853" s="8" t="str">
        <f>IFERROR(__xludf.DUMMYFUNCTION("""COMPUTED_VALUE"""),"Red Seedling")</f>
        <v>Red Seedling</v>
      </c>
      <c r="F853" s="8" t="str">
        <f>IFERROR(__xludf.DUMMYFUNCTION("""COMPUTED_VALUE"""),"Surinam Cherry")</f>
        <v>Surinam Cherry</v>
      </c>
      <c r="G853" s="8" t="str">
        <f>IFERROR(__xludf.DUMMYFUNCTION("""COMPUTED_VALUE"""),"Cerise du Suriname")</f>
        <v>Cerise du Suriname</v>
      </c>
      <c r="H853" s="8"/>
      <c r="I853" s="8"/>
      <c r="J853" s="8"/>
      <c r="K853" s="8"/>
      <c r="L853" s="8">
        <f>IFERROR(__xludf.DUMMYFUNCTION("""COMPUTED_VALUE"""),1.0)</f>
        <v>1</v>
      </c>
      <c r="M853" s="8">
        <f>IFERROR(__xludf.DUMMYFUNCTION("""COMPUTED_VALUE"""),0.0)</f>
        <v>0</v>
      </c>
      <c r="N853" s="8">
        <f>IFERROR(__xludf.DUMMYFUNCTION("""COMPUTED_VALUE"""),0.0)</f>
        <v>0</v>
      </c>
      <c r="O853" s="8"/>
      <c r="P853" s="8"/>
      <c r="Q853" s="8"/>
      <c r="R853" s="8"/>
      <c r="S853" s="8"/>
      <c r="T853" s="8"/>
      <c r="U853" s="8"/>
      <c r="V853" s="8"/>
      <c r="W853" s="8"/>
      <c r="X853" s="8"/>
      <c r="Y853" s="8"/>
      <c r="Z853" s="8"/>
    </row>
    <row r="854">
      <c r="A854" s="8">
        <f>IFERROR(__xludf.DUMMYFUNCTION("""COMPUTED_VALUE"""),1264.0)</f>
        <v>1264</v>
      </c>
      <c r="B854" s="8" t="str">
        <f>IFERROR(__xludf.DUMMYFUNCTION("""COMPUTED_VALUE"""),"perennial")</f>
        <v>perennial</v>
      </c>
      <c r="C854" s="8" t="str">
        <f>IFERROR(__xludf.DUMMYFUNCTION("""COMPUTED_VALUE"""),"graft")</f>
        <v>graft</v>
      </c>
      <c r="D854" s="55" t="str">
        <f>IFERROR(__xludf.DUMMYFUNCTION("""COMPUTED_VALUE"""),"Eugenia uniflora")</f>
        <v>Eugenia uniflora</v>
      </c>
      <c r="E854" s="8" t="str">
        <f>IFERROR(__xludf.DUMMYFUNCTION("""COMPUTED_VALUE"""),"Red Seedling")</f>
        <v>Red Seedling</v>
      </c>
      <c r="F854" s="8" t="str">
        <f>IFERROR(__xludf.DUMMYFUNCTION("""COMPUTED_VALUE"""),"Surinam Cherry")</f>
        <v>Surinam Cherry</v>
      </c>
      <c r="G854" s="8" t="str">
        <f>IFERROR(__xludf.DUMMYFUNCTION("""COMPUTED_VALUE"""),"Cerise du Suriname")</f>
        <v>Cerise du Suriname</v>
      </c>
      <c r="H854" s="8"/>
      <c r="I854" s="8"/>
      <c r="J854" s="8"/>
      <c r="K854" s="8"/>
      <c r="L854" s="8">
        <f>IFERROR(__xludf.DUMMYFUNCTION("""COMPUTED_VALUE"""),1.0)</f>
        <v>1</v>
      </c>
      <c r="M854" s="8">
        <f>IFERROR(__xludf.DUMMYFUNCTION("""COMPUTED_VALUE"""),0.0)</f>
        <v>0</v>
      </c>
      <c r="N854" s="8">
        <f>IFERROR(__xludf.DUMMYFUNCTION("""COMPUTED_VALUE"""),0.0)</f>
        <v>0</v>
      </c>
      <c r="O854" s="8"/>
      <c r="P854" s="8"/>
      <c r="Q854" s="8"/>
      <c r="R854" s="8"/>
      <c r="S854" s="8"/>
      <c r="T854" s="8"/>
      <c r="U854" s="8"/>
      <c r="V854" s="8"/>
      <c r="W854" s="8"/>
      <c r="X854" s="8"/>
      <c r="Y854" s="8"/>
      <c r="Z854" s="8"/>
    </row>
    <row r="855">
      <c r="A855" s="8">
        <f>IFERROR(__xludf.DUMMYFUNCTION("""COMPUTED_VALUE"""),1265.0)</f>
        <v>1265</v>
      </c>
      <c r="B855" s="8" t="str">
        <f>IFERROR(__xludf.DUMMYFUNCTION("""COMPUTED_VALUE"""),"perennial")</f>
        <v>perennial</v>
      </c>
      <c r="C855" s="8" t="str">
        <f>IFERROR(__xludf.DUMMYFUNCTION("""COMPUTED_VALUE"""),"graft")</f>
        <v>graft</v>
      </c>
      <c r="D855" s="55" t="str">
        <f>IFERROR(__xludf.DUMMYFUNCTION("""COMPUTED_VALUE"""),"Eugenia uniflora")</f>
        <v>Eugenia uniflora</v>
      </c>
      <c r="E855" s="8" t="str">
        <f>IFERROR(__xludf.DUMMYFUNCTION("""COMPUTED_VALUE"""),"Red Seedling")</f>
        <v>Red Seedling</v>
      </c>
      <c r="F855" s="8" t="str">
        <f>IFERROR(__xludf.DUMMYFUNCTION("""COMPUTED_VALUE"""),"Surinam Cherry")</f>
        <v>Surinam Cherry</v>
      </c>
      <c r="G855" s="8" t="str">
        <f>IFERROR(__xludf.DUMMYFUNCTION("""COMPUTED_VALUE"""),"Cerise du Suriname")</f>
        <v>Cerise du Suriname</v>
      </c>
      <c r="H855" s="8"/>
      <c r="I855" s="8"/>
      <c r="J855" s="8"/>
      <c r="K855" s="8"/>
      <c r="L855" s="8">
        <f>IFERROR(__xludf.DUMMYFUNCTION("""COMPUTED_VALUE"""),1.0)</f>
        <v>1</v>
      </c>
      <c r="M855" s="8">
        <f>IFERROR(__xludf.DUMMYFUNCTION("""COMPUTED_VALUE"""),0.0)</f>
        <v>0</v>
      </c>
      <c r="N855" s="8">
        <f>IFERROR(__xludf.DUMMYFUNCTION("""COMPUTED_VALUE"""),0.0)</f>
        <v>0</v>
      </c>
      <c r="O855" s="8"/>
      <c r="P855" s="8"/>
      <c r="Q855" s="8"/>
      <c r="R855" s="8"/>
      <c r="S855" s="8"/>
      <c r="T855" s="8"/>
      <c r="U855" s="8"/>
      <c r="V855" s="8"/>
      <c r="W855" s="8"/>
      <c r="X855" s="8"/>
      <c r="Y855" s="8"/>
      <c r="Z855" s="8"/>
    </row>
    <row r="856">
      <c r="A856" s="8">
        <f>IFERROR(__xludf.DUMMYFUNCTION("""COMPUTED_VALUE"""),1266.0)</f>
        <v>1266</v>
      </c>
      <c r="B856" s="8" t="str">
        <f>IFERROR(__xludf.DUMMYFUNCTION("""COMPUTED_VALUE"""),"perennial")</f>
        <v>perennial</v>
      </c>
      <c r="C856" s="8" t="str">
        <f>IFERROR(__xludf.DUMMYFUNCTION("""COMPUTED_VALUE"""),"graft")</f>
        <v>graft</v>
      </c>
      <c r="D856" s="55" t="str">
        <f>IFERROR(__xludf.DUMMYFUNCTION("""COMPUTED_VALUE"""),"Eugenia uniflora")</f>
        <v>Eugenia uniflora</v>
      </c>
      <c r="E856" s="8" t="str">
        <f>IFERROR(__xludf.DUMMYFUNCTION("""COMPUTED_VALUE"""),"Red Seedling")</f>
        <v>Red Seedling</v>
      </c>
      <c r="F856" s="8" t="str">
        <f>IFERROR(__xludf.DUMMYFUNCTION("""COMPUTED_VALUE"""),"Surinam Cherry")</f>
        <v>Surinam Cherry</v>
      </c>
      <c r="G856" s="8" t="str">
        <f>IFERROR(__xludf.DUMMYFUNCTION("""COMPUTED_VALUE"""),"Cerise du Suriname")</f>
        <v>Cerise du Suriname</v>
      </c>
      <c r="H856" s="8"/>
      <c r="I856" s="8"/>
      <c r="J856" s="8"/>
      <c r="K856" s="8"/>
      <c r="L856" s="8">
        <f>IFERROR(__xludf.DUMMYFUNCTION("""COMPUTED_VALUE"""),1.0)</f>
        <v>1</v>
      </c>
      <c r="M856" s="8">
        <f>IFERROR(__xludf.DUMMYFUNCTION("""COMPUTED_VALUE"""),0.0)</f>
        <v>0</v>
      </c>
      <c r="N856" s="8">
        <f>IFERROR(__xludf.DUMMYFUNCTION("""COMPUTED_VALUE"""),0.0)</f>
        <v>0</v>
      </c>
      <c r="O856" s="8"/>
      <c r="P856" s="8"/>
      <c r="Q856" s="8"/>
      <c r="R856" s="8"/>
      <c r="S856" s="8"/>
      <c r="T856" s="8"/>
      <c r="U856" s="8"/>
      <c r="V856" s="8"/>
      <c r="W856" s="8"/>
      <c r="X856" s="8"/>
      <c r="Y856" s="8"/>
      <c r="Z856" s="8"/>
    </row>
    <row r="857">
      <c r="A857" s="8">
        <f>IFERROR(__xludf.DUMMYFUNCTION("""COMPUTED_VALUE"""),1267.0)</f>
        <v>1267</v>
      </c>
      <c r="B857" s="8" t="str">
        <f>IFERROR(__xludf.DUMMYFUNCTION("""COMPUTED_VALUE"""),"perennial")</f>
        <v>perennial</v>
      </c>
      <c r="C857" s="8" t="str">
        <f>IFERROR(__xludf.DUMMYFUNCTION("""COMPUTED_VALUE"""),"graft")</f>
        <v>graft</v>
      </c>
      <c r="D857" s="55" t="str">
        <f>IFERROR(__xludf.DUMMYFUNCTION("""COMPUTED_VALUE"""),"Eugenia uniflora")</f>
        <v>Eugenia uniflora</v>
      </c>
      <c r="E857" s="8" t="str">
        <f>IFERROR(__xludf.DUMMYFUNCTION("""COMPUTED_VALUE"""),"Red Seedling")</f>
        <v>Red Seedling</v>
      </c>
      <c r="F857" s="8" t="str">
        <f>IFERROR(__xludf.DUMMYFUNCTION("""COMPUTED_VALUE"""),"Surinam Cherry")</f>
        <v>Surinam Cherry</v>
      </c>
      <c r="G857" s="8" t="str">
        <f>IFERROR(__xludf.DUMMYFUNCTION("""COMPUTED_VALUE"""),"Cerise du Suriname")</f>
        <v>Cerise du Suriname</v>
      </c>
      <c r="H857" s="8"/>
      <c r="I857" s="8"/>
      <c r="J857" s="8"/>
      <c r="K857" s="8"/>
      <c r="L857" s="8">
        <f>IFERROR(__xludf.DUMMYFUNCTION("""COMPUTED_VALUE"""),1.0)</f>
        <v>1</v>
      </c>
      <c r="M857" s="8">
        <f>IFERROR(__xludf.DUMMYFUNCTION("""COMPUTED_VALUE"""),0.0)</f>
        <v>0</v>
      </c>
      <c r="N857" s="8">
        <f>IFERROR(__xludf.DUMMYFUNCTION("""COMPUTED_VALUE"""),0.0)</f>
        <v>0</v>
      </c>
      <c r="O857" s="8"/>
      <c r="P857" s="8"/>
      <c r="Q857" s="8"/>
      <c r="R857" s="8"/>
      <c r="S857" s="8"/>
      <c r="T857" s="8"/>
      <c r="U857" s="8"/>
      <c r="V857" s="8"/>
      <c r="W857" s="8"/>
      <c r="X857" s="8"/>
      <c r="Y857" s="8"/>
      <c r="Z857" s="8"/>
    </row>
    <row r="858">
      <c r="A858" s="8">
        <f>IFERROR(__xludf.DUMMYFUNCTION("""COMPUTED_VALUE"""),1268.0)</f>
        <v>1268</v>
      </c>
      <c r="B858" s="8" t="str">
        <f>IFERROR(__xludf.DUMMYFUNCTION("""COMPUTED_VALUE"""),"tree")</f>
        <v>tree</v>
      </c>
      <c r="C858" s="8" t="str">
        <f>IFERROR(__xludf.DUMMYFUNCTION("""COMPUTED_VALUE"""),"seed")</f>
        <v>seed</v>
      </c>
      <c r="D858" s="55" t="str">
        <f>IFERROR(__xludf.DUMMYFUNCTION("""COMPUTED_VALUE"""),"Garcinia mangostana")</f>
        <v>Garcinia mangostana</v>
      </c>
      <c r="E858" s="8"/>
      <c r="F858" s="8" t="str">
        <f>IFERROR(__xludf.DUMMYFUNCTION("""COMPUTED_VALUE"""),"Mangosteen")</f>
        <v>Mangosteen</v>
      </c>
      <c r="G858" s="8" t="str">
        <f>IFERROR(__xludf.DUMMYFUNCTION("""COMPUTED_VALUE"""),"Mangoustan")</f>
        <v>Mangoustan</v>
      </c>
      <c r="H858" s="8"/>
      <c r="I858" s="8"/>
      <c r="J858" s="8"/>
      <c r="K858" s="8"/>
      <c r="L858" s="8"/>
      <c r="M858" s="8"/>
      <c r="N858" s="8"/>
      <c r="O858" s="8"/>
      <c r="P858" s="8"/>
      <c r="Q858" s="8"/>
      <c r="R858" s="8"/>
      <c r="S858" s="8"/>
      <c r="T858" s="8"/>
      <c r="U858" s="8"/>
      <c r="V858" s="8"/>
      <c r="W858" s="8"/>
      <c r="X858" s="8"/>
      <c r="Y858" s="8"/>
      <c r="Z858" s="8"/>
    </row>
    <row r="859">
      <c r="A859" s="8">
        <f>IFERROR(__xludf.DUMMYFUNCTION("""COMPUTED_VALUE"""),1269.0)</f>
        <v>1269</v>
      </c>
      <c r="B859" s="8" t="str">
        <f>IFERROR(__xludf.DUMMYFUNCTION("""COMPUTED_VALUE"""),"tree")</f>
        <v>tree</v>
      </c>
      <c r="C859" s="8" t="str">
        <f>IFERROR(__xludf.DUMMYFUNCTION("""COMPUTED_VALUE"""),"seed")</f>
        <v>seed</v>
      </c>
      <c r="D859" s="55" t="str">
        <f>IFERROR(__xludf.DUMMYFUNCTION("""COMPUTED_VALUE"""),"Garcinia mangostana")</f>
        <v>Garcinia mangostana</v>
      </c>
      <c r="E859" s="8"/>
      <c r="F859" s="8" t="str">
        <f>IFERROR(__xludf.DUMMYFUNCTION("""COMPUTED_VALUE"""),"Mangosteen")</f>
        <v>Mangosteen</v>
      </c>
      <c r="G859" s="8" t="str">
        <f>IFERROR(__xludf.DUMMYFUNCTION("""COMPUTED_VALUE"""),"Mangoustan")</f>
        <v>Mangoustan</v>
      </c>
      <c r="H859" s="8"/>
      <c r="I859" s="8"/>
      <c r="J859" s="8"/>
      <c r="K859" s="8"/>
      <c r="L859" s="8"/>
      <c r="M859" s="8"/>
      <c r="N859" s="8"/>
      <c r="O859" s="8"/>
      <c r="P859" s="8"/>
      <c r="Q859" s="8"/>
      <c r="R859" s="8"/>
      <c r="S859" s="8"/>
      <c r="T859" s="8"/>
      <c r="U859" s="8"/>
      <c r="V859" s="8"/>
      <c r="W859" s="8"/>
      <c r="X859" s="8"/>
      <c r="Y859" s="8"/>
      <c r="Z859" s="8"/>
    </row>
    <row r="860">
      <c r="A860" s="8">
        <f>IFERROR(__xludf.DUMMYFUNCTION("""COMPUTED_VALUE"""),1270.0)</f>
        <v>1270</v>
      </c>
      <c r="B860" s="8" t="str">
        <f>IFERROR(__xludf.DUMMYFUNCTION("""COMPUTED_VALUE"""),"tree")</f>
        <v>tree</v>
      </c>
      <c r="C860" s="8" t="str">
        <f>IFERROR(__xludf.DUMMYFUNCTION("""COMPUTED_VALUE"""),"seed")</f>
        <v>seed</v>
      </c>
      <c r="D860" s="55" t="str">
        <f>IFERROR(__xludf.DUMMYFUNCTION("""COMPUTED_VALUE"""),"Garcinia mangostana")</f>
        <v>Garcinia mangostana</v>
      </c>
      <c r="E860" s="8"/>
      <c r="F860" s="8" t="str">
        <f>IFERROR(__xludf.DUMMYFUNCTION("""COMPUTED_VALUE"""),"Mangosteen")</f>
        <v>Mangosteen</v>
      </c>
      <c r="G860" s="8" t="str">
        <f>IFERROR(__xludf.DUMMYFUNCTION("""COMPUTED_VALUE"""),"Mangoustan")</f>
        <v>Mangoustan</v>
      </c>
      <c r="H860" s="8"/>
      <c r="I860" s="8"/>
      <c r="J860" s="8"/>
      <c r="K860" s="8"/>
      <c r="L860" s="8"/>
      <c r="M860" s="8"/>
      <c r="N860" s="8"/>
      <c r="O860" s="8"/>
      <c r="P860" s="8"/>
      <c r="Q860" s="8"/>
      <c r="R860" s="8"/>
      <c r="S860" s="8"/>
      <c r="T860" s="8"/>
      <c r="U860" s="8"/>
      <c r="V860" s="8"/>
      <c r="W860" s="8"/>
      <c r="X860" s="8"/>
      <c r="Y860" s="8"/>
      <c r="Z860" s="8"/>
    </row>
    <row r="861">
      <c r="A861" s="8">
        <f>IFERROR(__xludf.DUMMYFUNCTION("""COMPUTED_VALUE"""),1271.0)</f>
        <v>1271</v>
      </c>
      <c r="B861" s="8" t="str">
        <f>IFERROR(__xludf.DUMMYFUNCTION("""COMPUTED_VALUE"""),"tree")</f>
        <v>tree</v>
      </c>
      <c r="C861" s="8" t="str">
        <f>IFERROR(__xludf.DUMMYFUNCTION("""COMPUTED_VALUE"""),"graft")</f>
        <v>graft</v>
      </c>
      <c r="D861" s="55" t="str">
        <f>IFERROR(__xludf.DUMMYFUNCTION("""COMPUTED_VALUE"""),"Persea americana")</f>
        <v>Persea americana</v>
      </c>
      <c r="E861" s="8" t="str">
        <f>IFERROR(__xludf.DUMMYFUNCTION("""COMPUTED_VALUE"""),"Brooks Late")</f>
        <v>Brooks Late</v>
      </c>
      <c r="F861" s="8" t="str">
        <f>IFERROR(__xludf.DUMMYFUNCTION("""COMPUTED_VALUE"""),"Avocado")</f>
        <v>Avocado</v>
      </c>
      <c r="G861" s="8" t="str">
        <f>IFERROR(__xludf.DUMMYFUNCTION("""COMPUTED_VALUE"""),"Avocat")</f>
        <v>Avocat</v>
      </c>
      <c r="H861" s="8" t="str">
        <f>IFERROR(__xludf.DUMMYFUNCTION("""COMPUTED_VALUE"""),"Avocado")</f>
        <v>Avocado</v>
      </c>
      <c r="I861" s="8" t="str">
        <f>IFERROR(__xludf.DUMMYFUNCTION("""COMPUTED_VALUE"""),"086A")</f>
        <v>086A</v>
      </c>
      <c r="J861" s="8"/>
      <c r="K861" s="8">
        <f>IFERROR(__xludf.DUMMYFUNCTION("""COMPUTED_VALUE"""),9010.0)</f>
        <v>9010</v>
      </c>
      <c r="L861" s="8">
        <f>IFERROR(__xludf.DUMMYFUNCTION("""COMPUTED_VALUE"""),1.0)</f>
        <v>1</v>
      </c>
      <c r="M861" s="8">
        <f>IFERROR(__xludf.DUMMYFUNCTION("""COMPUTED_VALUE"""),3.0)</f>
        <v>3</v>
      </c>
      <c r="N861" s="8">
        <f>IFERROR(__xludf.DUMMYFUNCTION("""COMPUTED_VALUE"""),4.0)</f>
        <v>4</v>
      </c>
      <c r="O861" s="8"/>
      <c r="P861" s="8"/>
      <c r="Q861" s="8"/>
      <c r="R861" s="8"/>
      <c r="S861" s="8"/>
      <c r="T861" s="8"/>
      <c r="U861" s="8"/>
      <c r="V861" s="8"/>
      <c r="W861" s="8"/>
      <c r="X861" s="8"/>
      <c r="Y861" s="8"/>
      <c r="Z861" s="8"/>
    </row>
    <row r="862">
      <c r="A862" s="8">
        <f>IFERROR(__xludf.DUMMYFUNCTION("""COMPUTED_VALUE"""),1273.0)</f>
        <v>1273</v>
      </c>
      <c r="B862" s="8" t="str">
        <f>IFERROR(__xludf.DUMMYFUNCTION("""COMPUTED_VALUE"""),"tree")</f>
        <v>tree</v>
      </c>
      <c r="C862" s="8" t="str">
        <f>IFERROR(__xludf.DUMMYFUNCTION("""COMPUTED_VALUE"""),"seed")</f>
        <v>seed</v>
      </c>
      <c r="D862" s="55" t="str">
        <f>IFERROR(__xludf.DUMMYFUNCTION("""COMPUTED_VALUE"""),"Cinnamomum sp.")</f>
        <v>Cinnamomum sp.</v>
      </c>
      <c r="E862" s="8"/>
      <c r="F862" s="8" t="str">
        <f>IFERROR(__xludf.DUMMYFUNCTION("""COMPUTED_VALUE"""),"Cinnamon")</f>
        <v>Cinnamon</v>
      </c>
      <c r="G862" s="8" t="str">
        <f>IFERROR(__xludf.DUMMYFUNCTION("""COMPUTED_VALUE"""),"Cannelle")</f>
        <v>Cannelle</v>
      </c>
      <c r="H862" s="8"/>
      <c r="I862" s="8"/>
      <c r="J862" s="8"/>
      <c r="K862" s="8"/>
      <c r="L862" s="8"/>
      <c r="M862" s="8"/>
      <c r="N862" s="8"/>
      <c r="O862" s="8"/>
      <c r="P862" s="8"/>
      <c r="Q862" s="8"/>
      <c r="R862" s="8"/>
      <c r="S862" s="8"/>
      <c r="T862" s="8"/>
      <c r="U862" s="8"/>
      <c r="V862" s="8"/>
      <c r="W862" s="8"/>
      <c r="X862" s="8"/>
      <c r="Y862" s="8"/>
      <c r="Z862" s="8"/>
    </row>
    <row r="863">
      <c r="A863" s="8">
        <f>IFERROR(__xludf.DUMMYFUNCTION("""COMPUTED_VALUE"""),1274.0)</f>
        <v>1274</v>
      </c>
      <c r="B863" s="8" t="str">
        <f>IFERROR(__xludf.DUMMYFUNCTION("""COMPUTED_VALUE"""),"tree")</f>
        <v>tree</v>
      </c>
      <c r="C863" s="8" t="str">
        <f>IFERROR(__xludf.DUMMYFUNCTION("""COMPUTED_VALUE"""),"graft")</f>
        <v>graft</v>
      </c>
      <c r="D863" s="55" t="str">
        <f>IFERROR(__xludf.DUMMYFUNCTION("""COMPUTED_VALUE"""),"Mangifera indica")</f>
        <v>Mangifera indica</v>
      </c>
      <c r="E863" s="8" t="str">
        <f>IFERROR(__xludf.DUMMYFUNCTION("""COMPUTED_VALUE"""),"Greffé")</f>
        <v>Greffé</v>
      </c>
      <c r="F863" s="8" t="str">
        <f>IFERROR(__xludf.DUMMYFUNCTION("""COMPUTED_VALUE"""),"Mango")</f>
        <v>Mango</v>
      </c>
      <c r="G863" s="8" t="str">
        <f>IFERROR(__xludf.DUMMYFUNCTION("""COMPUTED_VALUE"""),"mangue")</f>
        <v>mangue</v>
      </c>
      <c r="H863" s="8"/>
      <c r="I863" s="8" t="str">
        <f>IFERROR(__xludf.DUMMYFUNCTION("""COMPUTED_VALUE"""),"M12")</f>
        <v>M12</v>
      </c>
      <c r="J863" s="8"/>
      <c r="K863" s="8"/>
      <c r="L863" s="8">
        <f>IFERROR(__xludf.DUMMYFUNCTION("""COMPUTED_VALUE"""),1.0)</f>
        <v>1</v>
      </c>
      <c r="M863" s="8">
        <f>IFERROR(__xludf.DUMMYFUNCTION("""COMPUTED_VALUE"""),0.0)</f>
        <v>0</v>
      </c>
      <c r="N863" s="8">
        <f>IFERROR(__xludf.DUMMYFUNCTION("""COMPUTED_VALUE"""),0.0)</f>
        <v>0</v>
      </c>
      <c r="O863" s="8"/>
      <c r="P863" s="8"/>
      <c r="Q863" s="8"/>
      <c r="R863" s="8"/>
      <c r="S863" s="8"/>
      <c r="T863" s="8"/>
      <c r="U863" s="8"/>
      <c r="V863" s="8"/>
      <c r="W863" s="8"/>
      <c r="X863" s="8"/>
      <c r="Y863" s="8"/>
      <c r="Z863" s="8"/>
    </row>
    <row r="864">
      <c r="A864" s="8">
        <f>IFERROR(__xludf.DUMMYFUNCTION("""COMPUTED_VALUE"""),1275.0)</f>
        <v>1275</v>
      </c>
      <c r="B864" s="8" t="str">
        <f>IFERROR(__xludf.DUMMYFUNCTION("""COMPUTED_VALUE"""),"tree")</f>
        <v>tree</v>
      </c>
      <c r="C864" s="8" t="str">
        <f>IFERROR(__xludf.DUMMYFUNCTION("""COMPUTED_VALUE"""),"graft")</f>
        <v>graft</v>
      </c>
      <c r="D864" s="8" t="str">
        <f>IFERROR(__xludf.DUMMYFUNCTION("""COMPUTED_VALUE"""),"Mangifera indica")</f>
        <v>Mangifera indica</v>
      </c>
      <c r="E864" s="8" t="str">
        <f>IFERROR(__xludf.DUMMYFUNCTION("""COMPUTED_VALUE"""),"Greffé")</f>
        <v>Greffé</v>
      </c>
      <c r="F864" s="8" t="str">
        <f>IFERROR(__xludf.DUMMYFUNCTION("""COMPUTED_VALUE"""),"Mango")</f>
        <v>Mango</v>
      </c>
      <c r="G864" s="8" t="str">
        <f>IFERROR(__xludf.DUMMYFUNCTION("""COMPUTED_VALUE"""),"mangue")</f>
        <v>mangue</v>
      </c>
      <c r="H864" s="8" t="str">
        <f>IFERROR(__xludf.DUMMYFUNCTION("""COMPUTED_VALUE"""),"Mango")</f>
        <v>Mango</v>
      </c>
      <c r="I864" s="8" t="str">
        <f>IFERROR(__xludf.DUMMYFUNCTION("""COMPUTED_VALUE"""),"P08")</f>
        <v>P08</v>
      </c>
      <c r="J864" s="8"/>
      <c r="K864" s="8"/>
      <c r="L864" s="8">
        <f>IFERROR(__xludf.DUMMYFUNCTION("""COMPUTED_VALUE"""),1.0)</f>
        <v>1</v>
      </c>
      <c r="M864" s="8">
        <f>IFERROR(__xludf.DUMMYFUNCTION("""COMPUTED_VALUE"""),0.0)</f>
        <v>0</v>
      </c>
      <c r="N864" s="8">
        <f>IFERROR(__xludf.DUMMYFUNCTION("""COMPUTED_VALUE"""),0.0)</f>
        <v>0</v>
      </c>
      <c r="O864" s="8"/>
      <c r="P864" s="8"/>
      <c r="Q864" s="8"/>
      <c r="R864" s="8"/>
      <c r="S864" s="8"/>
      <c r="T864" s="8"/>
      <c r="U864" s="8"/>
      <c r="V864" s="8"/>
      <c r="W864" s="8"/>
      <c r="X864" s="8"/>
      <c r="Y864" s="8"/>
      <c r="Z864" s="8"/>
    </row>
    <row r="865">
      <c r="A865" s="8">
        <f>IFERROR(__xludf.DUMMYFUNCTION("""COMPUTED_VALUE"""),1276.0)</f>
        <v>1276</v>
      </c>
      <c r="B865" s="8" t="str">
        <f>IFERROR(__xludf.DUMMYFUNCTION("""COMPUTED_VALUE"""),"tree")</f>
        <v>tree</v>
      </c>
      <c r="C865" s="8" t="str">
        <f>IFERROR(__xludf.DUMMYFUNCTION("""COMPUTED_VALUE"""),"graft")</f>
        <v>graft</v>
      </c>
      <c r="D865" s="8" t="str">
        <f>IFERROR(__xludf.DUMMYFUNCTION("""COMPUTED_VALUE"""),"Artocarpus heterophyllus")</f>
        <v>Artocarpus heterophyllus</v>
      </c>
      <c r="E865" s="8" t="str">
        <f>IFERROR(__xludf.DUMMYFUNCTION("""COMPUTED_VALUE"""),"US Seedling")</f>
        <v>US Seedling</v>
      </c>
      <c r="F865" s="8" t="str">
        <f>IFERROR(__xludf.DUMMYFUNCTION("""COMPUTED_VALUE"""),"Jackfruit")</f>
        <v>Jackfruit</v>
      </c>
      <c r="G865" s="8" t="str">
        <f>IFERROR(__xludf.DUMMYFUNCTION("""COMPUTED_VALUE"""),"Jacquier")</f>
        <v>Jacquier</v>
      </c>
      <c r="H865" s="8"/>
      <c r="I865" s="8" t="str">
        <f>IFERROR(__xludf.DUMMYFUNCTION("""COMPUTED_VALUE"""),"215")</f>
        <v>215</v>
      </c>
      <c r="J865" s="8"/>
      <c r="K865" s="8"/>
      <c r="L865" s="8" t="str">
        <f>IFERROR(__xludf.DUMMYFUNCTION("""COMPUTED_VALUE"""),"multiple")</f>
        <v>multiple</v>
      </c>
      <c r="M865" s="8">
        <f>IFERROR(__xludf.DUMMYFUNCTION("""COMPUTED_VALUE"""),0.0)</f>
        <v>0</v>
      </c>
      <c r="N865" s="8">
        <f>IFERROR(__xludf.DUMMYFUNCTION("""COMPUTED_VALUE"""),0.0)</f>
        <v>0</v>
      </c>
      <c r="O865" s="8"/>
      <c r="P865" s="8"/>
      <c r="Q865" s="8"/>
      <c r="R865" s="8"/>
      <c r="S865" s="8"/>
      <c r="T865" s="8"/>
      <c r="U865" s="8"/>
      <c r="V865" s="8"/>
      <c r="W865" s="8"/>
      <c r="X865" s="8"/>
      <c r="Y865" s="8"/>
      <c r="Z865" s="8"/>
    </row>
    <row r="866">
      <c r="A866" s="8">
        <f>IFERROR(__xludf.DUMMYFUNCTION("""COMPUTED_VALUE"""),1281.0)</f>
        <v>1281</v>
      </c>
      <c r="B866" s="8" t="str">
        <f>IFERROR(__xludf.DUMMYFUNCTION("""COMPUTED_VALUE"""),"tree")</f>
        <v>tree</v>
      </c>
      <c r="C866" s="8" t="str">
        <f>IFERROR(__xludf.DUMMYFUNCTION("""COMPUTED_VALUE"""),"cutting")</f>
        <v>cutting</v>
      </c>
      <c r="D866" s="55" t="str">
        <f>IFERROR(__xludf.DUMMYFUNCTION("""COMPUTED_VALUE"""),"Moringa oleifera")</f>
        <v>Moringa oleifera</v>
      </c>
      <c r="E866" s="8" t="str">
        <f>IFERROR(__xludf.DUMMYFUNCTION("""COMPUTED_VALUE"""),"MOMAX3")</f>
        <v>MOMAX3</v>
      </c>
      <c r="F866" s="8" t="str">
        <f>IFERROR(__xludf.DUMMYFUNCTION("""COMPUTED_VALUE"""),"Moringa")</f>
        <v>Moringa</v>
      </c>
      <c r="G866" s="8" t="str">
        <f>IFERROR(__xludf.DUMMYFUNCTION("""COMPUTED_VALUE"""),"Moringa")</f>
        <v>Moringa</v>
      </c>
      <c r="H866" s="8"/>
      <c r="I866" s="8" t="str">
        <f>IFERROR(__xludf.DUMMYFUNCTION("""COMPUTED_VALUE"""),"096")</f>
        <v>096</v>
      </c>
      <c r="J866" s="8"/>
      <c r="K866" s="8"/>
      <c r="L866" s="8" t="str">
        <f>IFERROR(__xludf.DUMMYFUNCTION("""COMPUTED_VALUE"""),"multiple")</f>
        <v>multiple</v>
      </c>
      <c r="M866" s="8">
        <f>IFERROR(__xludf.DUMMYFUNCTION("""COMPUTED_VALUE"""),0.0)</f>
        <v>0</v>
      </c>
      <c r="N866" s="8">
        <f>IFERROR(__xludf.DUMMYFUNCTION("""COMPUTED_VALUE"""),0.0)</f>
        <v>0</v>
      </c>
      <c r="O866" s="8"/>
      <c r="P866" s="8"/>
      <c r="Q866" s="8"/>
      <c r="R866" s="8"/>
      <c r="S866" s="8"/>
      <c r="T866" s="8"/>
      <c r="U866" s="8"/>
      <c r="V866" s="8"/>
      <c r="W866" s="8"/>
      <c r="X866" s="8"/>
      <c r="Y866" s="8"/>
      <c r="Z866" s="8"/>
    </row>
    <row r="867">
      <c r="A867" s="8">
        <f>IFERROR(__xludf.DUMMYFUNCTION("""COMPUTED_VALUE"""),1282.0)</f>
        <v>1282</v>
      </c>
      <c r="B867" s="8" t="str">
        <f>IFERROR(__xludf.DUMMYFUNCTION("""COMPUTED_VALUE"""),"")</f>
        <v/>
      </c>
      <c r="C867" s="8" t="str">
        <f>IFERROR(__xludf.DUMMYFUNCTION("""COMPUTED_VALUE"""),"")</f>
        <v/>
      </c>
      <c r="D867" s="8"/>
      <c r="E867" s="8"/>
      <c r="F867" s="8"/>
      <c r="G867" s="8" t="str">
        <f>IFERROR(__xludf.DUMMYFUNCTION("""COMPUTED_VALUE"""),"")</f>
        <v/>
      </c>
      <c r="H867" s="8"/>
      <c r="I867" s="8"/>
      <c r="J867" s="8"/>
      <c r="K867" s="8"/>
      <c r="L867" s="8" t="str">
        <f>IFERROR(__xludf.DUMMYFUNCTION("""COMPUTED_VALUE"""),"")</f>
        <v/>
      </c>
      <c r="M867" s="8"/>
      <c r="N867" s="8"/>
      <c r="O867" s="8"/>
      <c r="P867" s="8"/>
      <c r="Q867" s="8"/>
      <c r="R867" s="8"/>
      <c r="S867" s="8"/>
      <c r="T867" s="8"/>
      <c r="U867" s="8"/>
      <c r="V867" s="8"/>
      <c r="W867" s="8"/>
      <c r="X867" s="8"/>
      <c r="Y867" s="8"/>
      <c r="Z867" s="8"/>
    </row>
    <row r="868">
      <c r="A868" s="8">
        <f>IFERROR(__xludf.DUMMYFUNCTION("""COMPUTED_VALUE"""),9001.0)</f>
        <v>9001</v>
      </c>
      <c r="B868" s="8" t="str">
        <f>IFERROR(__xludf.DUMMYFUNCTION("""COMPUTED_VALUE"""),"tree")</f>
        <v>tree</v>
      </c>
      <c r="C868" s="8" t="str">
        <f>IFERROR(__xludf.DUMMYFUNCTION("""COMPUTED_VALUE"""),"graft")</f>
        <v>graft</v>
      </c>
      <c r="D868" s="55" t="str">
        <f>IFERROR(__xludf.DUMMYFUNCTION("""COMPUTED_VALUE"""),"Persea americana")</f>
        <v>Persea americana</v>
      </c>
      <c r="E868" s="8" t="str">
        <f>IFERROR(__xludf.DUMMYFUNCTION("""COMPUTED_VALUE"""),"Beta")</f>
        <v>Beta</v>
      </c>
      <c r="F868" s="8" t="str">
        <f>IFERROR(__xludf.DUMMYFUNCTION("""COMPUTED_VALUE"""),"Avocado")</f>
        <v>Avocado</v>
      </c>
      <c r="G868" s="8" t="str">
        <f>IFERROR(__xludf.DUMMYFUNCTION("""COMPUTED_VALUE"""),"Avocat")</f>
        <v>Avocat</v>
      </c>
      <c r="H868" s="8" t="str">
        <f>IFERROR(__xludf.DUMMYFUNCTION("""COMPUTED_VALUE"""),"Avocado")</f>
        <v>Avocado</v>
      </c>
      <c r="I868" s="8"/>
      <c r="J868" s="8"/>
      <c r="K868" s="8"/>
      <c r="L868" s="8">
        <f>IFERROR(__xludf.DUMMYFUNCTION("""COMPUTED_VALUE"""),1.0)</f>
        <v>1</v>
      </c>
      <c r="M868" s="8">
        <f>IFERROR(__xludf.DUMMYFUNCTION("""COMPUTED_VALUE"""),1.0)</f>
        <v>1</v>
      </c>
      <c r="N868" s="8">
        <f>IFERROR(__xludf.DUMMYFUNCTION("""COMPUTED_VALUE"""),2.0)</f>
        <v>2</v>
      </c>
      <c r="O868" s="8"/>
      <c r="P868" s="8"/>
      <c r="Q868" s="8"/>
      <c r="R868" s="8"/>
      <c r="S868" s="8"/>
      <c r="T868" s="8"/>
      <c r="U868" s="8"/>
      <c r="V868" s="8"/>
      <c r="W868" s="8"/>
      <c r="X868" s="8"/>
      <c r="Y868" s="8"/>
      <c r="Z868" s="8"/>
    </row>
    <row r="869">
      <c r="A869" s="8">
        <f>IFERROR(__xludf.DUMMYFUNCTION("""COMPUTED_VALUE"""),9002.0)</f>
        <v>9002</v>
      </c>
      <c r="B869" s="8" t="str">
        <f>IFERROR(__xludf.DUMMYFUNCTION("""COMPUTED_VALUE"""),"tree")</f>
        <v>tree</v>
      </c>
      <c r="C869" s="8" t="str">
        <f>IFERROR(__xludf.DUMMYFUNCTION("""COMPUTED_VALUE"""),"graft")</f>
        <v>graft</v>
      </c>
      <c r="D869" s="55" t="str">
        <f>IFERROR(__xludf.DUMMYFUNCTION("""COMPUTED_VALUE"""),"Persea americana")</f>
        <v>Persea americana</v>
      </c>
      <c r="E869" s="8" t="str">
        <f>IFERROR(__xludf.DUMMYFUNCTION("""COMPUTED_VALUE"""),"Beta")</f>
        <v>Beta</v>
      </c>
      <c r="F869" s="8" t="str">
        <f>IFERROR(__xludf.DUMMYFUNCTION("""COMPUTED_VALUE"""),"Avocado")</f>
        <v>Avocado</v>
      </c>
      <c r="G869" s="8" t="str">
        <f>IFERROR(__xludf.DUMMYFUNCTION("""COMPUTED_VALUE"""),"Avocat")</f>
        <v>Avocat</v>
      </c>
      <c r="H869" s="8" t="str">
        <f>IFERROR(__xludf.DUMMYFUNCTION("""COMPUTED_VALUE"""),"Avocado")</f>
        <v>Avocado</v>
      </c>
      <c r="I869" s="8" t="str">
        <f>IFERROR(__xludf.DUMMYFUNCTION("""COMPUTED_VALUE"""),"083A")</f>
        <v>083A</v>
      </c>
      <c r="J869" s="8"/>
      <c r="K869" s="8"/>
      <c r="L869" s="8">
        <f>IFERROR(__xludf.DUMMYFUNCTION("""COMPUTED_VALUE"""),1.0)</f>
        <v>1</v>
      </c>
      <c r="M869" s="8">
        <f>IFERROR(__xludf.DUMMYFUNCTION("""COMPUTED_VALUE"""),1.0)</f>
        <v>1</v>
      </c>
      <c r="N869" s="8">
        <f>IFERROR(__xludf.DUMMYFUNCTION("""COMPUTED_VALUE"""),2.0)</f>
        <v>2</v>
      </c>
      <c r="O869" s="8"/>
      <c r="P869" s="8"/>
      <c r="Q869" s="8"/>
      <c r="R869" s="8"/>
      <c r="S869" s="8"/>
      <c r="T869" s="8"/>
      <c r="U869" s="8"/>
      <c r="V869" s="8"/>
      <c r="W869" s="8"/>
      <c r="X869" s="8"/>
      <c r="Y869" s="8"/>
      <c r="Z869" s="8"/>
    </row>
    <row r="870">
      <c r="A870" s="8">
        <f>IFERROR(__xludf.DUMMYFUNCTION("""COMPUTED_VALUE"""),1277.0)</f>
        <v>1277</v>
      </c>
      <c r="B870" s="8" t="str">
        <f>IFERROR(__xludf.DUMMYFUNCTION("""COMPUTED_VALUE"""),"tree")</f>
        <v>tree</v>
      </c>
      <c r="C870" s="8" t="str">
        <f>IFERROR(__xludf.DUMMYFUNCTION("""COMPUTED_VALUE"""),"graft")</f>
        <v>graft</v>
      </c>
      <c r="D870" s="55" t="str">
        <f>IFERROR(__xludf.DUMMYFUNCTION("""COMPUTED_VALUE"""),"Persea americana")</f>
        <v>Persea americana</v>
      </c>
      <c r="E870" s="8" t="str">
        <f>IFERROR(__xludf.DUMMYFUNCTION("""COMPUTED_VALUE"""),"Beta")</f>
        <v>Beta</v>
      </c>
      <c r="F870" s="8" t="str">
        <f>IFERROR(__xludf.DUMMYFUNCTION("""COMPUTED_VALUE"""),"Avocado")</f>
        <v>Avocado</v>
      </c>
      <c r="G870" s="8" t="str">
        <f>IFERROR(__xludf.DUMMYFUNCTION("""COMPUTED_VALUE"""),"Avocat")</f>
        <v>Avocat</v>
      </c>
      <c r="H870" s="8" t="str">
        <f>IFERROR(__xludf.DUMMYFUNCTION("""COMPUTED_VALUE"""),"Avocado")</f>
        <v>Avocado</v>
      </c>
      <c r="I870" s="8" t="str">
        <f>IFERROR(__xludf.DUMMYFUNCTION("""COMPUTED_VALUE"""),"042")</f>
        <v>042</v>
      </c>
      <c r="J870" s="8"/>
      <c r="K870" s="8">
        <f>IFERROR(__xludf.DUMMYFUNCTION("""COMPUTED_VALUE"""),9003.0)</f>
        <v>9003</v>
      </c>
      <c r="L870" s="8">
        <f>IFERROR(__xludf.DUMMYFUNCTION("""COMPUTED_VALUE"""),1.0)</f>
        <v>1</v>
      </c>
      <c r="M870" s="8">
        <f>IFERROR(__xludf.DUMMYFUNCTION("""COMPUTED_VALUE"""),1.0)</f>
        <v>1</v>
      </c>
      <c r="N870" s="8">
        <f>IFERROR(__xludf.DUMMYFUNCTION("""COMPUTED_VALUE"""),2.0)</f>
        <v>2</v>
      </c>
      <c r="O870" s="8"/>
      <c r="P870" s="8"/>
      <c r="Q870" s="8"/>
      <c r="R870" s="8"/>
      <c r="S870" s="8"/>
      <c r="T870" s="8"/>
      <c r="U870" s="8"/>
      <c r="V870" s="8"/>
      <c r="W870" s="8"/>
      <c r="X870" s="8"/>
      <c r="Y870" s="8"/>
      <c r="Z870" s="8"/>
    </row>
    <row r="871">
      <c r="A871" s="8">
        <f>IFERROR(__xludf.DUMMYFUNCTION("""COMPUTED_VALUE"""),1280.0)</f>
        <v>1280</v>
      </c>
      <c r="B871" s="8" t="str">
        <f>IFERROR(__xludf.DUMMYFUNCTION("""COMPUTED_VALUE"""),"tree")</f>
        <v>tree</v>
      </c>
      <c r="C871" s="8" t="str">
        <f>IFERROR(__xludf.DUMMYFUNCTION("""COMPUTED_VALUE"""),"graft")</f>
        <v>graft</v>
      </c>
      <c r="D871" s="55" t="str">
        <f>IFERROR(__xludf.DUMMYFUNCTION("""COMPUTED_VALUE"""),"Persea americana")</f>
        <v>Persea americana</v>
      </c>
      <c r="E871" s="8" t="str">
        <f>IFERROR(__xludf.DUMMYFUNCTION("""COMPUTED_VALUE"""),"Brooks Late")</f>
        <v>Brooks Late</v>
      </c>
      <c r="F871" s="8" t="str">
        <f>IFERROR(__xludf.DUMMYFUNCTION("""COMPUTED_VALUE"""),"Avocado")</f>
        <v>Avocado</v>
      </c>
      <c r="G871" s="8" t="str">
        <f>IFERROR(__xludf.DUMMYFUNCTION("""COMPUTED_VALUE"""),"Avocat")</f>
        <v>Avocat</v>
      </c>
      <c r="H871" s="8" t="str">
        <f>IFERROR(__xludf.DUMMYFUNCTION("""COMPUTED_VALUE"""),"Avocado")</f>
        <v>Avocado</v>
      </c>
      <c r="I871" s="8" t="str">
        <f>IFERROR(__xludf.DUMMYFUNCTION("""COMPUTED_VALUE"""),"028A")</f>
        <v>028A</v>
      </c>
      <c r="J871" s="8"/>
      <c r="K871" s="8">
        <f>IFERROR(__xludf.DUMMYFUNCTION("""COMPUTED_VALUE"""),9006.0)</f>
        <v>9006</v>
      </c>
      <c r="L871" s="8">
        <f>IFERROR(__xludf.DUMMYFUNCTION("""COMPUTED_VALUE"""),1.0)</f>
        <v>1</v>
      </c>
      <c r="M871" s="8">
        <f>IFERROR(__xludf.DUMMYFUNCTION("""COMPUTED_VALUE"""),3.0)</f>
        <v>3</v>
      </c>
      <c r="N871" s="8">
        <f>IFERROR(__xludf.DUMMYFUNCTION("""COMPUTED_VALUE"""),4.0)</f>
        <v>4</v>
      </c>
      <c r="O871" s="8"/>
      <c r="P871" s="8"/>
      <c r="Q871" s="8"/>
      <c r="R871" s="8"/>
      <c r="S871" s="8"/>
      <c r="T871" s="8"/>
      <c r="U871" s="8"/>
      <c r="V871" s="8"/>
      <c r="W871" s="8"/>
      <c r="X871" s="8"/>
      <c r="Y871" s="8"/>
      <c r="Z871" s="8"/>
    </row>
    <row r="872">
      <c r="A872" s="8">
        <f>IFERROR(__xludf.DUMMYFUNCTION("""COMPUTED_VALUE"""),9008.0)</f>
        <v>9008</v>
      </c>
      <c r="B872" s="8" t="str">
        <f>IFERROR(__xludf.DUMMYFUNCTION("""COMPUTED_VALUE"""),"tree")</f>
        <v>tree</v>
      </c>
      <c r="C872" s="8" t="str">
        <f>IFERROR(__xludf.DUMMYFUNCTION("""COMPUTED_VALUE"""),"graft")</f>
        <v>graft</v>
      </c>
      <c r="D872" s="55" t="str">
        <f>IFERROR(__xludf.DUMMYFUNCTION("""COMPUTED_VALUE"""),"Persea americana")</f>
        <v>Persea americana</v>
      </c>
      <c r="E872" s="8" t="str">
        <f>IFERROR(__xludf.DUMMYFUNCTION("""COMPUTED_VALUE"""),"Brooks Late")</f>
        <v>Brooks Late</v>
      </c>
      <c r="F872" s="8" t="str">
        <f>IFERROR(__xludf.DUMMYFUNCTION("""COMPUTED_VALUE"""),"Avocado")</f>
        <v>Avocado</v>
      </c>
      <c r="G872" s="8" t="str">
        <f>IFERROR(__xludf.DUMMYFUNCTION("""COMPUTED_VALUE"""),"Avocat")</f>
        <v>Avocat</v>
      </c>
      <c r="H872" s="8" t="str">
        <f>IFERROR(__xludf.DUMMYFUNCTION("""COMPUTED_VALUE"""),"Avocado")</f>
        <v>Avocado</v>
      </c>
      <c r="I872" s="8"/>
      <c r="J872" s="8"/>
      <c r="K872" s="8"/>
      <c r="L872" s="8">
        <f>IFERROR(__xludf.DUMMYFUNCTION("""COMPUTED_VALUE"""),1.0)</f>
        <v>1</v>
      </c>
      <c r="M872" s="8">
        <f>IFERROR(__xludf.DUMMYFUNCTION("""COMPUTED_VALUE"""),3.0)</f>
        <v>3</v>
      </c>
      <c r="N872" s="8">
        <f>IFERROR(__xludf.DUMMYFUNCTION("""COMPUTED_VALUE"""),4.0)</f>
        <v>4</v>
      </c>
      <c r="O872" s="8"/>
      <c r="P872" s="8"/>
      <c r="Q872" s="8"/>
      <c r="R872" s="8"/>
      <c r="S872" s="8"/>
      <c r="T872" s="8"/>
      <c r="U872" s="8"/>
      <c r="V872" s="8"/>
      <c r="W872" s="8"/>
      <c r="X872" s="8"/>
      <c r="Y872" s="8"/>
      <c r="Z872" s="8"/>
    </row>
    <row r="873">
      <c r="A873" s="8">
        <f>IFERROR(__xludf.DUMMYFUNCTION("""COMPUTED_VALUE"""),9009.0)</f>
        <v>9009</v>
      </c>
      <c r="B873" s="8" t="str">
        <f>IFERROR(__xludf.DUMMYFUNCTION("""COMPUTED_VALUE"""),"tree")</f>
        <v>tree</v>
      </c>
      <c r="C873" s="8" t="str">
        <f>IFERROR(__xludf.DUMMYFUNCTION("""COMPUTED_VALUE"""),"graft")</f>
        <v>graft</v>
      </c>
      <c r="D873" s="55" t="str">
        <f>IFERROR(__xludf.DUMMYFUNCTION("""COMPUTED_VALUE"""),"Persea americana")</f>
        <v>Persea americana</v>
      </c>
      <c r="E873" s="8" t="str">
        <f>IFERROR(__xludf.DUMMYFUNCTION("""COMPUTED_VALUE"""),"Brooks Late")</f>
        <v>Brooks Late</v>
      </c>
      <c r="F873" s="8" t="str">
        <f>IFERROR(__xludf.DUMMYFUNCTION("""COMPUTED_VALUE"""),"Avocado")</f>
        <v>Avocado</v>
      </c>
      <c r="G873" s="8" t="str">
        <f>IFERROR(__xludf.DUMMYFUNCTION("""COMPUTED_VALUE"""),"Avocat")</f>
        <v>Avocat</v>
      </c>
      <c r="H873" s="8" t="str">
        <f>IFERROR(__xludf.DUMMYFUNCTION("""COMPUTED_VALUE"""),"Avocado")</f>
        <v>Avocado</v>
      </c>
      <c r="I873" s="8"/>
      <c r="J873" s="8"/>
      <c r="K873" s="8"/>
      <c r="L873" s="8">
        <f>IFERROR(__xludf.DUMMYFUNCTION("""COMPUTED_VALUE"""),1.0)</f>
        <v>1</v>
      </c>
      <c r="M873" s="8">
        <f>IFERROR(__xludf.DUMMYFUNCTION("""COMPUTED_VALUE"""),3.0)</f>
        <v>3</v>
      </c>
      <c r="N873" s="8">
        <f>IFERROR(__xludf.DUMMYFUNCTION("""COMPUTED_VALUE"""),4.0)</f>
        <v>4</v>
      </c>
      <c r="O873" s="8"/>
      <c r="P873" s="8"/>
      <c r="Q873" s="8"/>
      <c r="R873" s="8"/>
      <c r="S873" s="8"/>
      <c r="T873" s="8"/>
      <c r="U873" s="8"/>
      <c r="V873" s="8"/>
      <c r="W873" s="8"/>
      <c r="X873" s="8"/>
      <c r="Y873" s="8"/>
      <c r="Z873" s="8"/>
    </row>
    <row r="874">
      <c r="A874" s="8">
        <f>IFERROR(__xludf.DUMMYFUNCTION("""COMPUTED_VALUE"""),9015.0)</f>
        <v>9015</v>
      </c>
      <c r="B874" s="8" t="str">
        <f>IFERROR(__xludf.DUMMYFUNCTION("""COMPUTED_VALUE"""),"tree")</f>
        <v>tree</v>
      </c>
      <c r="C874" s="8" t="str">
        <f>IFERROR(__xludf.DUMMYFUNCTION("""COMPUTED_VALUE"""),"graft")</f>
        <v>graft</v>
      </c>
      <c r="D874" s="55" t="str">
        <f>IFERROR(__xludf.DUMMYFUNCTION("""COMPUTED_VALUE"""),"Persea americana")</f>
        <v>Persea americana</v>
      </c>
      <c r="E874" s="8" t="str">
        <f>IFERROR(__xludf.DUMMYFUNCTION("""COMPUTED_VALUE"""),"Miguel")</f>
        <v>Miguel</v>
      </c>
      <c r="F874" s="8" t="str">
        <f>IFERROR(__xludf.DUMMYFUNCTION("""COMPUTED_VALUE"""),"Avocado")</f>
        <v>Avocado</v>
      </c>
      <c r="G874" s="8" t="str">
        <f>IFERROR(__xludf.DUMMYFUNCTION("""COMPUTED_VALUE"""),"Avocat")</f>
        <v>Avocat</v>
      </c>
      <c r="H874" s="8" t="str">
        <f>IFERROR(__xludf.DUMMYFUNCTION("""COMPUTED_VALUE"""),"Avocado")</f>
        <v>Avocado</v>
      </c>
      <c r="I874" s="8"/>
      <c r="J874" s="8"/>
      <c r="K874" s="8"/>
      <c r="L874" s="8">
        <f>IFERROR(__xludf.DUMMYFUNCTION("""COMPUTED_VALUE"""),1.0)</f>
        <v>1</v>
      </c>
      <c r="M874" s="8">
        <f>IFERROR(__xludf.DUMMYFUNCTION("""COMPUTED_VALUE"""),1.0)</f>
        <v>1</v>
      </c>
      <c r="N874" s="8">
        <f>IFERROR(__xludf.DUMMYFUNCTION("""COMPUTED_VALUE"""),1.0)</f>
        <v>1</v>
      </c>
      <c r="O874" s="8"/>
      <c r="P874" s="8"/>
      <c r="Q874" s="8"/>
      <c r="R874" s="8"/>
      <c r="S874" s="8"/>
      <c r="T874" s="8"/>
      <c r="U874" s="8"/>
      <c r="V874" s="8"/>
      <c r="W874" s="8"/>
      <c r="X874" s="8"/>
      <c r="Y874" s="8"/>
      <c r="Z874" s="8"/>
    </row>
    <row r="875">
      <c r="A875" s="8">
        <f>IFERROR(__xludf.DUMMYFUNCTION("""COMPUTED_VALUE"""),9016.0)</f>
        <v>9016</v>
      </c>
      <c r="B875" s="8" t="str">
        <f>IFERROR(__xludf.DUMMYFUNCTION("""COMPUTED_VALUE"""),"tree")</f>
        <v>tree</v>
      </c>
      <c r="C875" s="8" t="str">
        <f>IFERROR(__xludf.DUMMYFUNCTION("""COMPUTED_VALUE"""),"graft")</f>
        <v>graft</v>
      </c>
      <c r="D875" s="55" t="str">
        <f>IFERROR(__xludf.DUMMYFUNCTION("""COMPUTED_VALUE"""),"Persea americana")</f>
        <v>Persea americana</v>
      </c>
      <c r="E875" s="8" t="str">
        <f>IFERROR(__xludf.DUMMYFUNCTION("""COMPUTED_VALUE"""),"Monroe")</f>
        <v>Monroe</v>
      </c>
      <c r="F875" s="8" t="str">
        <f>IFERROR(__xludf.DUMMYFUNCTION("""COMPUTED_VALUE"""),"Avocado")</f>
        <v>Avocado</v>
      </c>
      <c r="G875" s="8" t="str">
        <f>IFERROR(__xludf.DUMMYFUNCTION("""COMPUTED_VALUE"""),"Avocat")</f>
        <v>Avocat</v>
      </c>
      <c r="H875" s="8" t="str">
        <f>IFERROR(__xludf.DUMMYFUNCTION("""COMPUTED_VALUE"""),"Avocado")</f>
        <v>Avocado</v>
      </c>
      <c r="I875" s="8"/>
      <c r="J875" s="8"/>
      <c r="K875" s="8"/>
      <c r="L875" s="8">
        <f>IFERROR(__xludf.DUMMYFUNCTION("""COMPUTED_VALUE"""),1.0)</f>
        <v>1</v>
      </c>
      <c r="M875" s="8">
        <f>IFERROR(__xludf.DUMMYFUNCTION("""COMPUTED_VALUE"""),0.0)</f>
        <v>0</v>
      </c>
      <c r="N875" s="8">
        <f>IFERROR(__xludf.DUMMYFUNCTION("""COMPUTED_VALUE"""),2.0)</f>
        <v>2</v>
      </c>
      <c r="O875" s="8"/>
      <c r="P875" s="8"/>
      <c r="Q875" s="8"/>
      <c r="R875" s="8"/>
      <c r="S875" s="8"/>
      <c r="T875" s="8"/>
      <c r="U875" s="8"/>
      <c r="V875" s="8"/>
      <c r="W875" s="8"/>
      <c r="X875" s="8"/>
      <c r="Y875" s="8"/>
      <c r="Z875" s="8"/>
    </row>
    <row r="876">
      <c r="A876" s="8">
        <f>IFERROR(__xludf.DUMMYFUNCTION("""COMPUTED_VALUE"""),9017.0)</f>
        <v>9017</v>
      </c>
      <c r="B876" s="8" t="str">
        <f>IFERROR(__xludf.DUMMYFUNCTION("""COMPUTED_VALUE"""),"tree")</f>
        <v>tree</v>
      </c>
      <c r="C876" s="8" t="str">
        <f>IFERROR(__xludf.DUMMYFUNCTION("""COMPUTED_VALUE"""),"graft")</f>
        <v>graft</v>
      </c>
      <c r="D876" s="55" t="str">
        <f>IFERROR(__xludf.DUMMYFUNCTION("""COMPUTED_VALUE"""),"Persea americana")</f>
        <v>Persea americana</v>
      </c>
      <c r="E876" s="8" t="str">
        <f>IFERROR(__xludf.DUMMYFUNCTION("""COMPUTED_VALUE"""),"Monroe")</f>
        <v>Monroe</v>
      </c>
      <c r="F876" s="8" t="str">
        <f>IFERROR(__xludf.DUMMYFUNCTION("""COMPUTED_VALUE"""),"Avocado")</f>
        <v>Avocado</v>
      </c>
      <c r="G876" s="8" t="str">
        <f>IFERROR(__xludf.DUMMYFUNCTION("""COMPUTED_VALUE"""),"Avocat")</f>
        <v>Avocat</v>
      </c>
      <c r="H876" s="8" t="str">
        <f>IFERROR(__xludf.DUMMYFUNCTION("""COMPUTED_VALUE"""),"Avocado")</f>
        <v>Avocado</v>
      </c>
      <c r="I876" s="8"/>
      <c r="J876" s="8"/>
      <c r="K876" s="8"/>
      <c r="L876" s="8">
        <f>IFERROR(__xludf.DUMMYFUNCTION("""COMPUTED_VALUE"""),1.0)</f>
        <v>1</v>
      </c>
      <c r="M876" s="8">
        <f>IFERROR(__xludf.DUMMYFUNCTION("""COMPUTED_VALUE"""),0.0)</f>
        <v>0</v>
      </c>
      <c r="N876" s="8">
        <f>IFERROR(__xludf.DUMMYFUNCTION("""COMPUTED_VALUE"""),2.0)</f>
        <v>2</v>
      </c>
      <c r="O876" s="8"/>
      <c r="P876" s="8"/>
      <c r="Q876" s="8"/>
      <c r="R876" s="8"/>
      <c r="S876" s="8"/>
      <c r="T876" s="8"/>
      <c r="U876" s="8"/>
      <c r="V876" s="8"/>
      <c r="W876" s="8"/>
      <c r="X876" s="8"/>
      <c r="Y876" s="8"/>
      <c r="Z876" s="8"/>
    </row>
    <row r="877">
      <c r="A877" s="8">
        <f>IFERROR(__xludf.DUMMYFUNCTION("""COMPUTED_VALUE"""),9018.0)</f>
        <v>9018</v>
      </c>
      <c r="B877" s="8" t="str">
        <f>IFERROR(__xludf.DUMMYFUNCTION("""COMPUTED_VALUE"""),"tree")</f>
        <v>tree</v>
      </c>
      <c r="C877" s="8" t="str">
        <f>IFERROR(__xludf.DUMMYFUNCTION("""COMPUTED_VALUE"""),"graft")</f>
        <v>graft</v>
      </c>
      <c r="D877" s="55" t="str">
        <f>IFERROR(__xludf.DUMMYFUNCTION("""COMPUTED_VALUE"""),"Persea americana")</f>
        <v>Persea americana</v>
      </c>
      <c r="E877" s="8" t="str">
        <f>IFERROR(__xludf.DUMMYFUNCTION("""COMPUTED_VALUE"""),"Ronnie")</f>
        <v>Ronnie</v>
      </c>
      <c r="F877" s="8" t="str">
        <f>IFERROR(__xludf.DUMMYFUNCTION("""COMPUTED_VALUE"""),"Avocado")</f>
        <v>Avocado</v>
      </c>
      <c r="G877" s="8" t="str">
        <f>IFERROR(__xludf.DUMMYFUNCTION("""COMPUTED_VALUE"""),"Avocat")</f>
        <v>Avocat</v>
      </c>
      <c r="H877" s="8" t="str">
        <f>IFERROR(__xludf.DUMMYFUNCTION("""COMPUTED_VALUE"""),"Avocado")</f>
        <v>Avocado</v>
      </c>
      <c r="I877" s="8"/>
      <c r="J877" s="8"/>
      <c r="K877" s="8"/>
      <c r="L877" s="8">
        <f>IFERROR(__xludf.DUMMYFUNCTION("""COMPUTED_VALUE"""),1.0)</f>
        <v>1</v>
      </c>
      <c r="M877" s="8">
        <f>IFERROR(__xludf.DUMMYFUNCTION("""COMPUTED_VALUE"""),1.0)</f>
        <v>1</v>
      </c>
      <c r="N877" s="8">
        <f>IFERROR(__xludf.DUMMYFUNCTION("""COMPUTED_VALUE"""),2.0)</f>
        <v>2</v>
      </c>
      <c r="O877" s="8"/>
      <c r="P877" s="8"/>
      <c r="Q877" s="8"/>
      <c r="R877" s="8"/>
      <c r="S877" s="8"/>
      <c r="T877" s="8"/>
      <c r="U877" s="8"/>
      <c r="V877" s="8"/>
      <c r="W877" s="8"/>
      <c r="X877" s="8"/>
      <c r="Y877" s="8"/>
      <c r="Z877" s="8"/>
    </row>
    <row r="878">
      <c r="A878" s="8">
        <f>IFERROR(__xludf.DUMMYFUNCTION("""COMPUTED_VALUE"""),9019.0)</f>
        <v>9019</v>
      </c>
      <c r="B878" s="8" t="str">
        <f>IFERROR(__xludf.DUMMYFUNCTION("""COMPUTED_VALUE"""),"tree")</f>
        <v>tree</v>
      </c>
      <c r="C878" s="8" t="str">
        <f>IFERROR(__xludf.DUMMYFUNCTION("""COMPUTED_VALUE"""),"graft")</f>
        <v>graft</v>
      </c>
      <c r="D878" s="55" t="str">
        <f>IFERROR(__xludf.DUMMYFUNCTION("""COMPUTED_VALUE"""),"Persea americana")</f>
        <v>Persea americana</v>
      </c>
      <c r="E878" s="8" t="str">
        <f>IFERROR(__xludf.DUMMYFUNCTION("""COMPUTED_VALUE"""),"Ronnie")</f>
        <v>Ronnie</v>
      </c>
      <c r="F878" s="8" t="str">
        <f>IFERROR(__xludf.DUMMYFUNCTION("""COMPUTED_VALUE"""),"Avocado")</f>
        <v>Avocado</v>
      </c>
      <c r="G878" s="8" t="str">
        <f>IFERROR(__xludf.DUMMYFUNCTION("""COMPUTED_VALUE"""),"Avocat")</f>
        <v>Avocat</v>
      </c>
      <c r="H878" s="8" t="str">
        <f>IFERROR(__xludf.DUMMYFUNCTION("""COMPUTED_VALUE"""),"Avocado")</f>
        <v>Avocado</v>
      </c>
      <c r="I878" s="8"/>
      <c r="J878" s="8"/>
      <c r="K878" s="8"/>
      <c r="L878" s="8">
        <f>IFERROR(__xludf.DUMMYFUNCTION("""COMPUTED_VALUE"""),1.0)</f>
        <v>1</v>
      </c>
      <c r="M878" s="8">
        <f>IFERROR(__xludf.DUMMYFUNCTION("""COMPUTED_VALUE"""),1.0)</f>
        <v>1</v>
      </c>
      <c r="N878" s="8">
        <f>IFERROR(__xludf.DUMMYFUNCTION("""COMPUTED_VALUE"""),2.0)</f>
        <v>2</v>
      </c>
      <c r="O878" s="8"/>
      <c r="P878" s="8"/>
      <c r="Q878" s="8"/>
      <c r="R878" s="8"/>
      <c r="S878" s="8"/>
      <c r="T878" s="8"/>
      <c r="U878" s="8"/>
      <c r="V878" s="8"/>
      <c r="W878" s="8"/>
      <c r="X878" s="8"/>
      <c r="Y878" s="8"/>
      <c r="Z878" s="8"/>
    </row>
    <row r="879">
      <c r="A879" s="8">
        <f>IFERROR(__xludf.DUMMYFUNCTION("""COMPUTED_VALUE"""),9021.0)</f>
        <v>9021</v>
      </c>
      <c r="B879" s="8" t="str">
        <f>IFERROR(__xludf.DUMMYFUNCTION("""COMPUTED_VALUE"""),"tree")</f>
        <v>tree</v>
      </c>
      <c r="C879" s="8" t="str">
        <f>IFERROR(__xludf.DUMMYFUNCTION("""COMPUTED_VALUE"""),"graft")</f>
        <v>graft</v>
      </c>
      <c r="D879" s="55" t="str">
        <f>IFERROR(__xludf.DUMMYFUNCTION("""COMPUTED_VALUE"""),"Persea americana")</f>
        <v>Persea americana</v>
      </c>
      <c r="E879" s="8" t="str">
        <f>IFERROR(__xludf.DUMMYFUNCTION("""COMPUTED_VALUE"""),"Ronnie")</f>
        <v>Ronnie</v>
      </c>
      <c r="F879" s="8" t="str">
        <f>IFERROR(__xludf.DUMMYFUNCTION("""COMPUTED_VALUE"""),"Avocado")</f>
        <v>Avocado</v>
      </c>
      <c r="G879" s="8" t="str">
        <f>IFERROR(__xludf.DUMMYFUNCTION("""COMPUTED_VALUE"""),"Avocat")</f>
        <v>Avocat</v>
      </c>
      <c r="H879" s="8" t="str">
        <f>IFERROR(__xludf.DUMMYFUNCTION("""COMPUTED_VALUE"""),"Avocado")</f>
        <v>Avocado</v>
      </c>
      <c r="I879" s="8"/>
      <c r="J879" s="8"/>
      <c r="K879" s="8"/>
      <c r="L879" s="8">
        <f>IFERROR(__xludf.DUMMYFUNCTION("""COMPUTED_VALUE"""),1.0)</f>
        <v>1</v>
      </c>
      <c r="M879" s="8">
        <f>IFERROR(__xludf.DUMMYFUNCTION("""COMPUTED_VALUE"""),1.0)</f>
        <v>1</v>
      </c>
      <c r="N879" s="8">
        <f>IFERROR(__xludf.DUMMYFUNCTION("""COMPUTED_VALUE"""),2.0)</f>
        <v>2</v>
      </c>
      <c r="O879" s="8"/>
      <c r="P879" s="8"/>
      <c r="Q879" s="8"/>
      <c r="R879" s="8"/>
      <c r="S879" s="8"/>
      <c r="T879" s="8"/>
      <c r="U879" s="8"/>
      <c r="V879" s="8"/>
      <c r="W879" s="8"/>
      <c r="X879" s="8"/>
      <c r="Y879" s="8"/>
      <c r="Z879" s="8"/>
    </row>
    <row r="880">
      <c r="A880" s="8">
        <f>IFERROR(__xludf.DUMMYFUNCTION("""COMPUTED_VALUE"""),9023.0)</f>
        <v>9023</v>
      </c>
      <c r="B880" s="8" t="str">
        <f>IFERROR(__xludf.DUMMYFUNCTION("""COMPUTED_VALUE"""),"tree")</f>
        <v>tree</v>
      </c>
      <c r="C880" s="8" t="str">
        <f>IFERROR(__xludf.DUMMYFUNCTION("""COMPUTED_VALUE"""),"graft")</f>
        <v>graft</v>
      </c>
      <c r="D880" s="55" t="str">
        <f>IFERROR(__xludf.DUMMYFUNCTION("""COMPUTED_VALUE"""),"Persea americana")</f>
        <v>Persea americana</v>
      </c>
      <c r="E880" s="8" t="str">
        <f>IFERROR(__xludf.DUMMYFUNCTION("""COMPUTED_VALUE"""),"Joey")</f>
        <v>Joey</v>
      </c>
      <c r="F880" s="8" t="str">
        <f>IFERROR(__xludf.DUMMYFUNCTION("""COMPUTED_VALUE"""),"Avocado")</f>
        <v>Avocado</v>
      </c>
      <c r="G880" s="8" t="str">
        <f>IFERROR(__xludf.DUMMYFUNCTION("""COMPUTED_VALUE"""),"Avocat")</f>
        <v>Avocat</v>
      </c>
      <c r="H880" s="8" t="str">
        <f>IFERROR(__xludf.DUMMYFUNCTION("""COMPUTED_VALUE"""),"Avocado")</f>
        <v>Avocado</v>
      </c>
      <c r="I880" s="8"/>
      <c r="J880" s="8"/>
      <c r="K880" s="8"/>
      <c r="L880" s="8">
        <f>IFERROR(__xludf.DUMMYFUNCTION("""COMPUTED_VALUE"""),1.0)</f>
        <v>1</v>
      </c>
      <c r="M880" s="8">
        <f>IFERROR(__xludf.DUMMYFUNCTION("""COMPUTED_VALUE"""),0.0)</f>
        <v>0</v>
      </c>
      <c r="N880" s="8">
        <f>IFERROR(__xludf.DUMMYFUNCTION("""COMPUTED_VALUE"""),0.0)</f>
        <v>0</v>
      </c>
      <c r="O880" s="8"/>
      <c r="P880" s="8"/>
      <c r="Q880" s="8"/>
      <c r="R880" s="8"/>
      <c r="S880" s="8"/>
      <c r="T880" s="8"/>
      <c r="U880" s="8"/>
      <c r="V880" s="8"/>
      <c r="W880" s="8"/>
      <c r="X880" s="8"/>
      <c r="Y880" s="8"/>
      <c r="Z880" s="8"/>
    </row>
    <row r="881">
      <c r="A881" s="8">
        <f>IFERROR(__xludf.DUMMYFUNCTION("""COMPUTED_VALUE"""),9024.0)</f>
        <v>9024</v>
      </c>
      <c r="B881" s="8" t="str">
        <f>IFERROR(__xludf.DUMMYFUNCTION("""COMPUTED_VALUE"""),"tree")</f>
        <v>tree</v>
      </c>
      <c r="C881" s="8" t="str">
        <f>IFERROR(__xludf.DUMMYFUNCTION("""COMPUTED_VALUE"""),"graft")</f>
        <v>graft</v>
      </c>
      <c r="D881" s="55" t="str">
        <f>IFERROR(__xludf.DUMMYFUNCTION("""COMPUTED_VALUE"""),"Persea americana")</f>
        <v>Persea americana</v>
      </c>
      <c r="E881" s="8" t="str">
        <f>IFERROR(__xludf.DUMMYFUNCTION("""COMPUTED_VALUE"""),"Joey")</f>
        <v>Joey</v>
      </c>
      <c r="F881" s="8" t="str">
        <f>IFERROR(__xludf.DUMMYFUNCTION("""COMPUTED_VALUE"""),"Avocado")</f>
        <v>Avocado</v>
      </c>
      <c r="G881" s="8" t="str">
        <f>IFERROR(__xludf.DUMMYFUNCTION("""COMPUTED_VALUE"""),"Avocat")</f>
        <v>Avocat</v>
      </c>
      <c r="H881" s="8" t="str">
        <f>IFERROR(__xludf.DUMMYFUNCTION("""COMPUTED_VALUE"""),"Avocado")</f>
        <v>Avocado</v>
      </c>
      <c r="I881" s="8"/>
      <c r="J881" s="8"/>
      <c r="K881" s="8"/>
      <c r="L881" s="8">
        <f>IFERROR(__xludf.DUMMYFUNCTION("""COMPUTED_VALUE"""),1.0)</f>
        <v>1</v>
      </c>
      <c r="M881" s="8">
        <f>IFERROR(__xludf.DUMMYFUNCTION("""COMPUTED_VALUE"""),0.0)</f>
        <v>0</v>
      </c>
      <c r="N881" s="8">
        <f>IFERROR(__xludf.DUMMYFUNCTION("""COMPUTED_VALUE"""),0.0)</f>
        <v>0</v>
      </c>
      <c r="O881" s="8"/>
      <c r="P881" s="8"/>
      <c r="Q881" s="8"/>
      <c r="R881" s="8"/>
      <c r="S881" s="8"/>
      <c r="T881" s="8"/>
      <c r="U881" s="8"/>
      <c r="V881" s="8"/>
      <c r="W881" s="8"/>
      <c r="X881" s="8"/>
      <c r="Y881" s="8"/>
      <c r="Z881" s="8"/>
    </row>
    <row r="882">
      <c r="A882" s="8">
        <f>IFERROR(__xludf.DUMMYFUNCTION("""COMPUTED_VALUE"""),9025.0)</f>
        <v>9025</v>
      </c>
      <c r="B882" s="8" t="str">
        <f>IFERROR(__xludf.DUMMYFUNCTION("""COMPUTED_VALUE"""),"tree")</f>
        <v>tree</v>
      </c>
      <c r="C882" s="8" t="str">
        <f>IFERROR(__xludf.DUMMYFUNCTION("""COMPUTED_VALUE"""),"graft")</f>
        <v>graft</v>
      </c>
      <c r="D882" s="55" t="str">
        <f>IFERROR(__xludf.DUMMYFUNCTION("""COMPUTED_VALUE"""),"Persea americana")</f>
        <v>Persea americana</v>
      </c>
      <c r="E882" s="8" t="str">
        <f>IFERROR(__xludf.DUMMYFUNCTION("""COMPUTED_VALUE"""),"Kampong")</f>
        <v>Kampong</v>
      </c>
      <c r="F882" s="8" t="str">
        <f>IFERROR(__xludf.DUMMYFUNCTION("""COMPUTED_VALUE"""),"Avocado")</f>
        <v>Avocado</v>
      </c>
      <c r="G882" s="8" t="str">
        <f>IFERROR(__xludf.DUMMYFUNCTION("""COMPUTED_VALUE"""),"Avocat")</f>
        <v>Avocat</v>
      </c>
      <c r="H882" s="8" t="str">
        <f>IFERROR(__xludf.DUMMYFUNCTION("""COMPUTED_VALUE"""),"Avocado")</f>
        <v>Avocado</v>
      </c>
      <c r="I882" s="8"/>
      <c r="J882" s="8"/>
      <c r="K882" s="8"/>
      <c r="L882" s="8">
        <f>IFERROR(__xludf.DUMMYFUNCTION("""COMPUTED_VALUE"""),1.0)</f>
        <v>1</v>
      </c>
      <c r="M882" s="8">
        <f>IFERROR(__xludf.DUMMYFUNCTION("""COMPUTED_VALUE"""),0.0)</f>
        <v>0</v>
      </c>
      <c r="N882" s="8">
        <f>IFERROR(__xludf.DUMMYFUNCTION("""COMPUTED_VALUE"""),0.0)</f>
        <v>0</v>
      </c>
      <c r="O882" s="8"/>
      <c r="P882" s="8"/>
      <c r="Q882" s="8"/>
      <c r="R882" s="8"/>
      <c r="S882" s="8"/>
      <c r="T882" s="8"/>
      <c r="U882" s="8"/>
      <c r="V882" s="8"/>
      <c r="W882" s="8"/>
      <c r="X882" s="8"/>
      <c r="Y882" s="8"/>
      <c r="Z882" s="8"/>
    </row>
    <row r="883">
      <c r="A883" s="8">
        <f>IFERROR(__xludf.DUMMYFUNCTION("""COMPUTED_VALUE"""),9026.0)</f>
        <v>9026</v>
      </c>
      <c r="B883" s="8" t="str">
        <f>IFERROR(__xludf.DUMMYFUNCTION("""COMPUTED_VALUE"""),"tree")</f>
        <v>tree</v>
      </c>
      <c r="C883" s="8" t="str">
        <f>IFERROR(__xludf.DUMMYFUNCTION("""COMPUTED_VALUE"""),"graft")</f>
        <v>graft</v>
      </c>
      <c r="D883" s="55" t="str">
        <f>IFERROR(__xludf.DUMMYFUNCTION("""COMPUTED_VALUE"""),"Persea americana")</f>
        <v>Persea americana</v>
      </c>
      <c r="E883" s="8" t="str">
        <f>IFERROR(__xludf.DUMMYFUNCTION("""COMPUTED_VALUE"""),"Kampong")</f>
        <v>Kampong</v>
      </c>
      <c r="F883" s="8" t="str">
        <f>IFERROR(__xludf.DUMMYFUNCTION("""COMPUTED_VALUE"""),"Avocado")</f>
        <v>Avocado</v>
      </c>
      <c r="G883" s="8" t="str">
        <f>IFERROR(__xludf.DUMMYFUNCTION("""COMPUTED_VALUE"""),"Avocat")</f>
        <v>Avocat</v>
      </c>
      <c r="H883" s="8" t="str">
        <f>IFERROR(__xludf.DUMMYFUNCTION("""COMPUTED_VALUE"""),"Avocado")</f>
        <v>Avocado</v>
      </c>
      <c r="I883" s="8"/>
      <c r="J883" s="8"/>
      <c r="K883" s="8"/>
      <c r="L883" s="8">
        <f>IFERROR(__xludf.DUMMYFUNCTION("""COMPUTED_VALUE"""),1.0)</f>
        <v>1</v>
      </c>
      <c r="M883" s="8">
        <f>IFERROR(__xludf.DUMMYFUNCTION("""COMPUTED_VALUE"""),0.0)</f>
        <v>0</v>
      </c>
      <c r="N883" s="8">
        <f>IFERROR(__xludf.DUMMYFUNCTION("""COMPUTED_VALUE"""),0.0)</f>
        <v>0</v>
      </c>
      <c r="O883" s="8"/>
      <c r="P883" s="8"/>
      <c r="Q883" s="8"/>
      <c r="R883" s="8"/>
      <c r="S883" s="8"/>
      <c r="T883" s="8"/>
      <c r="U883" s="8"/>
      <c r="V883" s="8"/>
      <c r="W883" s="8"/>
      <c r="X883" s="8"/>
      <c r="Y883" s="8"/>
      <c r="Z883" s="8"/>
    </row>
    <row r="884">
      <c r="A884" s="8">
        <f>IFERROR(__xludf.DUMMYFUNCTION("""COMPUTED_VALUE"""),9027.0)</f>
        <v>9027</v>
      </c>
      <c r="B884" s="8" t="str">
        <f>IFERROR(__xludf.DUMMYFUNCTION("""COMPUTED_VALUE"""),"tree")</f>
        <v>tree</v>
      </c>
      <c r="C884" s="8" t="str">
        <f>IFERROR(__xludf.DUMMYFUNCTION("""COMPUTED_VALUE"""),"graft")</f>
        <v>graft</v>
      </c>
      <c r="D884" s="55" t="str">
        <f>IFERROR(__xludf.DUMMYFUNCTION("""COMPUTED_VALUE"""),"Artocarpus heterophyllus")</f>
        <v>Artocarpus heterophyllus</v>
      </c>
      <c r="E884" s="8" t="str">
        <f>IFERROR(__xludf.DUMMYFUNCTION("""COMPUTED_VALUE"""),"Black Gold Seedling")</f>
        <v>Black Gold Seedling</v>
      </c>
      <c r="F884" s="8" t="str">
        <f>IFERROR(__xludf.DUMMYFUNCTION("""COMPUTED_VALUE"""),"Jackfruit")</f>
        <v>Jackfruit</v>
      </c>
      <c r="G884" s="8" t="str">
        <f>IFERROR(__xludf.DUMMYFUNCTION("""COMPUTED_VALUE"""),"Jacquier")</f>
        <v>Jacquier</v>
      </c>
      <c r="H884" s="8" t="str">
        <f>IFERROR(__xludf.DUMMYFUNCTION("""COMPUTED_VALUE"""),"Jackfruit")</f>
        <v>Jackfruit</v>
      </c>
      <c r="I884" s="8"/>
      <c r="J884" s="8"/>
      <c r="K884" s="8"/>
      <c r="L884" s="8" t="str">
        <f>IFERROR(__xludf.DUMMYFUNCTION("""COMPUTED_VALUE"""),"multiple")</f>
        <v>multiple</v>
      </c>
      <c r="M884" s="8">
        <f>IFERROR(__xludf.DUMMYFUNCTION("""COMPUTED_VALUE"""),0.0)</f>
        <v>0</v>
      </c>
      <c r="N884" s="8">
        <f>IFERROR(__xludf.DUMMYFUNCTION("""COMPUTED_VALUE"""),0.0)</f>
        <v>0</v>
      </c>
      <c r="O884" s="8"/>
      <c r="P884" s="8"/>
      <c r="Q884" s="8"/>
      <c r="R884" s="8"/>
      <c r="S884" s="8"/>
      <c r="T884" s="8"/>
      <c r="U884" s="8"/>
      <c r="V884" s="8"/>
      <c r="W884" s="8"/>
      <c r="X884" s="8"/>
      <c r="Y884" s="8"/>
      <c r="Z884" s="8"/>
    </row>
    <row r="885">
      <c r="A885" s="8">
        <f>IFERROR(__xludf.DUMMYFUNCTION("""COMPUTED_VALUE"""),9029.0)</f>
        <v>9029</v>
      </c>
      <c r="B885" s="8" t="str">
        <f>IFERROR(__xludf.DUMMYFUNCTION("""COMPUTED_VALUE"""),"tree")</f>
        <v>tree</v>
      </c>
      <c r="C885" s="8" t="str">
        <f>IFERROR(__xludf.DUMMYFUNCTION("""COMPUTED_VALUE"""),"graft")</f>
        <v>graft</v>
      </c>
      <c r="D885" s="55" t="str">
        <f>IFERROR(__xludf.DUMMYFUNCTION("""COMPUTED_VALUE"""),"Artocarpus heterophyllus")</f>
        <v>Artocarpus heterophyllus</v>
      </c>
      <c r="E885" s="8" t="str">
        <f>IFERROR(__xludf.DUMMYFUNCTION("""COMPUTED_VALUE"""),"Thai Globe (Kun Wi Chan) Seedling")</f>
        <v>Thai Globe (Kun Wi Chan) Seedling</v>
      </c>
      <c r="F885" s="8" t="str">
        <f>IFERROR(__xludf.DUMMYFUNCTION("""COMPUTED_VALUE"""),"Jackfruit")</f>
        <v>Jackfruit</v>
      </c>
      <c r="G885" s="8" t="str">
        <f>IFERROR(__xludf.DUMMYFUNCTION("""COMPUTED_VALUE"""),"Jacquier")</f>
        <v>Jacquier</v>
      </c>
      <c r="H885" s="8" t="str">
        <f>IFERROR(__xludf.DUMMYFUNCTION("""COMPUTED_VALUE"""),"Jackfruit")</f>
        <v>Jackfruit</v>
      </c>
      <c r="I885" s="8"/>
      <c r="J885" s="8"/>
      <c r="K885" s="8"/>
      <c r="L885" s="8" t="str">
        <f>IFERROR(__xludf.DUMMYFUNCTION("""COMPUTED_VALUE"""),"multiple")</f>
        <v>multiple</v>
      </c>
      <c r="M885" s="8">
        <f>IFERROR(__xludf.DUMMYFUNCTION("""COMPUTED_VALUE"""),0.0)</f>
        <v>0</v>
      </c>
      <c r="N885" s="8">
        <f>IFERROR(__xludf.DUMMYFUNCTION("""COMPUTED_VALUE"""),0.0)</f>
        <v>0</v>
      </c>
      <c r="O885" s="8"/>
      <c r="P885" s="8"/>
      <c r="Q885" s="8"/>
      <c r="R885" s="8"/>
      <c r="S885" s="8"/>
      <c r="T885" s="8"/>
      <c r="U885" s="8"/>
      <c r="V885" s="8"/>
      <c r="W885" s="8"/>
      <c r="X885" s="8"/>
      <c r="Y885" s="8"/>
      <c r="Z885" s="8"/>
    </row>
    <row r="886">
      <c r="A886" s="8">
        <f>IFERROR(__xludf.DUMMYFUNCTION("""COMPUTED_VALUE"""),9030.0)</f>
        <v>9030</v>
      </c>
      <c r="B886" s="8" t="str">
        <f>IFERROR(__xludf.DUMMYFUNCTION("""COMPUTED_VALUE"""),"tree")</f>
        <v>tree</v>
      </c>
      <c r="C886" s="8" t="str">
        <f>IFERROR(__xludf.DUMMYFUNCTION("""COMPUTED_VALUE"""),"graft")</f>
        <v>graft</v>
      </c>
      <c r="D886" s="55" t="str">
        <f>IFERROR(__xludf.DUMMYFUNCTION("""COMPUTED_VALUE"""),"Artocarpus heterophyllus")</f>
        <v>Artocarpus heterophyllus</v>
      </c>
      <c r="E886" s="8" t="str">
        <f>IFERROR(__xludf.DUMMYFUNCTION("""COMPUTED_VALUE"""),"Thai Globe (Kun Wi Chan) Seedling")</f>
        <v>Thai Globe (Kun Wi Chan) Seedling</v>
      </c>
      <c r="F886" s="8" t="str">
        <f>IFERROR(__xludf.DUMMYFUNCTION("""COMPUTED_VALUE"""),"Jackfruit")</f>
        <v>Jackfruit</v>
      </c>
      <c r="G886" s="8" t="str">
        <f>IFERROR(__xludf.DUMMYFUNCTION("""COMPUTED_VALUE"""),"Jacquier")</f>
        <v>Jacquier</v>
      </c>
      <c r="H886" s="8" t="str">
        <f>IFERROR(__xludf.DUMMYFUNCTION("""COMPUTED_VALUE"""),"Jackfruit")</f>
        <v>Jackfruit</v>
      </c>
      <c r="I886" s="8"/>
      <c r="J886" s="8"/>
      <c r="K886" s="8"/>
      <c r="L886" s="8" t="str">
        <f>IFERROR(__xludf.DUMMYFUNCTION("""COMPUTED_VALUE"""),"multiple")</f>
        <v>multiple</v>
      </c>
      <c r="M886" s="8">
        <f>IFERROR(__xludf.DUMMYFUNCTION("""COMPUTED_VALUE"""),0.0)</f>
        <v>0</v>
      </c>
      <c r="N886" s="8">
        <f>IFERROR(__xludf.DUMMYFUNCTION("""COMPUTED_VALUE"""),0.0)</f>
        <v>0</v>
      </c>
      <c r="O886" s="8"/>
      <c r="P886" s="8"/>
      <c r="Q886" s="8"/>
      <c r="R886" s="8"/>
      <c r="S886" s="8"/>
      <c r="T886" s="8"/>
      <c r="U886" s="8"/>
      <c r="V886" s="8"/>
      <c r="W886" s="8"/>
      <c r="X886" s="8"/>
      <c r="Y886" s="8"/>
      <c r="Z886" s="8"/>
    </row>
    <row r="887">
      <c r="A887" s="8">
        <f>IFERROR(__xludf.DUMMYFUNCTION("""COMPUTED_VALUE"""),9031.0)</f>
        <v>9031</v>
      </c>
      <c r="B887" s="8" t="str">
        <f>IFERROR(__xludf.DUMMYFUNCTION("""COMPUTED_VALUE"""),"tree")</f>
        <v>tree</v>
      </c>
      <c r="C887" s="8" t="str">
        <f>IFERROR(__xludf.DUMMYFUNCTION("""COMPUTED_VALUE"""),"graft")</f>
        <v>graft</v>
      </c>
      <c r="D887" s="55" t="str">
        <f>IFERROR(__xludf.DUMMYFUNCTION("""COMPUTED_VALUE"""),"Mammea americana")</f>
        <v>Mammea americana</v>
      </c>
      <c r="E887" s="8" t="str">
        <f>IFERROR(__xludf.DUMMYFUNCTION("""COMPUTED_VALUE"""),"Tesoro")</f>
        <v>Tesoro</v>
      </c>
      <c r="F887" s="8" t="str">
        <f>IFERROR(__xludf.DUMMYFUNCTION("""COMPUTED_VALUE"""),"Mamey Apple")</f>
        <v>Mamey Apple</v>
      </c>
      <c r="G887" s="8" t="str">
        <f>IFERROR(__xludf.DUMMYFUNCTION("""COMPUTED_VALUE"""),"Abricot tropical/Pomme Mamey")</f>
        <v>Abricot tropical/Pomme Mamey</v>
      </c>
      <c r="H887" s="8" t="str">
        <f>IFERROR(__xludf.DUMMYFUNCTION("""COMPUTED_VALUE"""),"Tropical Apricot/Mamey Apple")</f>
        <v>Tropical Apricot/Mamey Apple</v>
      </c>
      <c r="I887" s="8"/>
      <c r="J887" s="8"/>
      <c r="K887" s="8"/>
      <c r="L887" s="8">
        <f>IFERROR(__xludf.DUMMYFUNCTION("""COMPUTED_VALUE"""),1.0)</f>
        <v>1</v>
      </c>
      <c r="M887" s="8">
        <f>IFERROR(__xludf.DUMMYFUNCTION("""COMPUTED_VALUE"""),0.0)</f>
        <v>0</v>
      </c>
      <c r="N887" s="8">
        <f>IFERROR(__xludf.DUMMYFUNCTION("""COMPUTED_VALUE"""),0.0)</f>
        <v>0</v>
      </c>
      <c r="O887" s="8"/>
      <c r="P887" s="8"/>
      <c r="Q887" s="8"/>
      <c r="R887" s="8"/>
      <c r="S887" s="8"/>
      <c r="T887" s="8"/>
      <c r="U887" s="8"/>
      <c r="V887" s="8"/>
      <c r="W887" s="8"/>
      <c r="X887" s="8"/>
      <c r="Y887" s="8"/>
      <c r="Z887" s="8"/>
    </row>
    <row r="888">
      <c r="A888" s="8">
        <f>IFERROR(__xludf.DUMMYFUNCTION("""COMPUTED_VALUE"""),9032.0)</f>
        <v>9032</v>
      </c>
      <c r="B888" s="8" t="str">
        <f>IFERROR(__xludf.DUMMYFUNCTION("""COMPUTED_VALUE"""),"tree")</f>
        <v>tree</v>
      </c>
      <c r="C888" s="8" t="str">
        <f>IFERROR(__xludf.DUMMYFUNCTION("""COMPUTED_VALUE"""),"graft")</f>
        <v>graft</v>
      </c>
      <c r="D888" s="55" t="str">
        <f>IFERROR(__xludf.DUMMYFUNCTION("""COMPUTED_VALUE"""),"Mammea americana")</f>
        <v>Mammea americana</v>
      </c>
      <c r="E888" s="8" t="str">
        <f>IFERROR(__xludf.DUMMYFUNCTION("""COMPUTED_VALUE"""),"Tesoro")</f>
        <v>Tesoro</v>
      </c>
      <c r="F888" s="8" t="str">
        <f>IFERROR(__xludf.DUMMYFUNCTION("""COMPUTED_VALUE"""),"Mamey Apple")</f>
        <v>Mamey Apple</v>
      </c>
      <c r="G888" s="8" t="str">
        <f>IFERROR(__xludf.DUMMYFUNCTION("""COMPUTED_VALUE"""),"Abricot tropical/Pomme Mamey")</f>
        <v>Abricot tropical/Pomme Mamey</v>
      </c>
      <c r="H888" s="8" t="str">
        <f>IFERROR(__xludf.DUMMYFUNCTION("""COMPUTED_VALUE"""),"Tropical Apricot/Mamey Apple")</f>
        <v>Tropical Apricot/Mamey Apple</v>
      </c>
      <c r="I888" s="8"/>
      <c r="J888" s="8"/>
      <c r="K888" s="8"/>
      <c r="L888" s="8">
        <f>IFERROR(__xludf.DUMMYFUNCTION("""COMPUTED_VALUE"""),1.0)</f>
        <v>1</v>
      </c>
      <c r="M888" s="8">
        <f>IFERROR(__xludf.DUMMYFUNCTION("""COMPUTED_VALUE"""),0.0)</f>
        <v>0</v>
      </c>
      <c r="N888" s="8">
        <f>IFERROR(__xludf.DUMMYFUNCTION("""COMPUTED_VALUE"""),0.0)</f>
        <v>0</v>
      </c>
      <c r="O888" s="8"/>
      <c r="P888" s="8"/>
      <c r="Q888" s="8"/>
      <c r="R888" s="8"/>
      <c r="S888" s="8"/>
      <c r="T888" s="8"/>
      <c r="U888" s="8"/>
      <c r="V888" s="8"/>
      <c r="W888" s="8"/>
      <c r="X888" s="8"/>
      <c r="Y888" s="8"/>
      <c r="Z888" s="8"/>
    </row>
    <row r="889">
      <c r="A889" s="8">
        <f>IFERROR(__xludf.DUMMYFUNCTION("""COMPUTED_VALUE"""),9035.0)</f>
        <v>9035</v>
      </c>
      <c r="B889" s="8" t="str">
        <f>IFERROR(__xludf.DUMMYFUNCTION("""COMPUTED_VALUE"""),"tree")</f>
        <v>tree</v>
      </c>
      <c r="C889" s="8" t="str">
        <f>IFERROR(__xludf.DUMMYFUNCTION("""COMPUTED_VALUE"""),"graft")</f>
        <v>graft</v>
      </c>
      <c r="D889" s="55" t="str">
        <f>IFERROR(__xludf.DUMMYFUNCTION("""COMPUTED_VALUE"""),"Eriobotrya japonica")</f>
        <v>Eriobotrya japonica</v>
      </c>
      <c r="E889" s="8" t="str">
        <f>IFERROR(__xludf.DUMMYFUNCTION("""COMPUTED_VALUE"""),"Golden Nugget")</f>
        <v>Golden Nugget</v>
      </c>
      <c r="F889" s="8" t="str">
        <f>IFERROR(__xludf.DUMMYFUNCTION("""COMPUTED_VALUE"""),"Loquat")</f>
        <v>Loquat</v>
      </c>
      <c r="G889" s="8" t="str">
        <f>IFERROR(__xludf.DUMMYFUNCTION("""COMPUTED_VALUE"""),"Néflier du Japon")</f>
        <v>Néflier du Japon</v>
      </c>
      <c r="H889" s="8" t="str">
        <f>IFERROR(__xludf.DUMMYFUNCTION("""COMPUTED_VALUE"""),"Loquat")</f>
        <v>Loquat</v>
      </c>
      <c r="I889" s="8"/>
      <c r="J889" s="8"/>
      <c r="K889" s="8"/>
      <c r="L889" s="8" t="str">
        <f>IFERROR(__xludf.DUMMYFUNCTION("""COMPUTED_VALUE"""),"multiple")</f>
        <v>multiple</v>
      </c>
      <c r="M889" s="8">
        <f>IFERROR(__xludf.DUMMYFUNCTION("""COMPUTED_VALUE"""),0.0)</f>
        <v>0</v>
      </c>
      <c r="N889" s="8">
        <f>IFERROR(__xludf.DUMMYFUNCTION("""COMPUTED_VALUE"""),0.0)</f>
        <v>0</v>
      </c>
      <c r="O889" s="8"/>
      <c r="P889" s="8"/>
      <c r="Q889" s="8"/>
      <c r="R889" s="8"/>
      <c r="S889" s="8"/>
      <c r="T889" s="8"/>
      <c r="U889" s="8"/>
      <c r="V889" s="8"/>
      <c r="W889" s="8"/>
      <c r="X889" s="8"/>
      <c r="Y889" s="8"/>
      <c r="Z889" s="8"/>
    </row>
    <row r="890">
      <c r="A890" s="8">
        <f>IFERROR(__xludf.DUMMYFUNCTION("""COMPUTED_VALUE"""),9037.0)</f>
        <v>9037</v>
      </c>
      <c r="B890" s="8" t="str">
        <f>IFERROR(__xludf.DUMMYFUNCTION("""COMPUTED_VALUE"""),"tree")</f>
        <v>tree</v>
      </c>
      <c r="C890" s="8" t="str">
        <f>IFERROR(__xludf.DUMMYFUNCTION("""COMPUTED_VALUE"""),"graft")</f>
        <v>graft</v>
      </c>
      <c r="D890" s="55" t="str">
        <f>IFERROR(__xludf.DUMMYFUNCTION("""COMPUTED_VALUE"""),"Persea americana")</f>
        <v>Persea americana</v>
      </c>
      <c r="E890" s="8" t="str">
        <f>IFERROR(__xludf.DUMMYFUNCTION("""COMPUTED_VALUE"""),"Baxter Brut")</f>
        <v>Baxter Brut</v>
      </c>
      <c r="F890" s="8" t="str">
        <f>IFERROR(__xludf.DUMMYFUNCTION("""COMPUTED_VALUE"""),"Avocado")</f>
        <v>Avocado</v>
      </c>
      <c r="G890" s="8" t="str">
        <f>IFERROR(__xludf.DUMMYFUNCTION("""COMPUTED_VALUE"""),"Avocat")</f>
        <v>Avocat</v>
      </c>
      <c r="H890" s="8" t="str">
        <f>IFERROR(__xludf.DUMMYFUNCTION("""COMPUTED_VALUE"""),"Avocado")</f>
        <v>Avocado</v>
      </c>
      <c r="I890" s="8"/>
      <c r="J890" s="8"/>
      <c r="K890" s="8"/>
      <c r="L890" s="8">
        <f>IFERROR(__xludf.DUMMYFUNCTION("""COMPUTED_VALUE"""),1.0)</f>
        <v>1</v>
      </c>
      <c r="M890" s="8">
        <f>IFERROR(__xludf.DUMMYFUNCTION("""COMPUTED_VALUE"""),0.0)</f>
        <v>0</v>
      </c>
      <c r="N890" s="8">
        <f>IFERROR(__xludf.DUMMYFUNCTION("""COMPUTED_VALUE"""),0.0)</f>
        <v>0</v>
      </c>
      <c r="O890" s="8"/>
      <c r="P890" s="8"/>
      <c r="Q890" s="8"/>
      <c r="R890" s="8"/>
      <c r="S890" s="8"/>
      <c r="T890" s="8"/>
      <c r="U890" s="8"/>
      <c r="V890" s="8"/>
      <c r="W890" s="8"/>
      <c r="X890" s="8"/>
      <c r="Y890" s="8"/>
      <c r="Z890" s="8"/>
    </row>
    <row r="891">
      <c r="A891" s="8">
        <f>IFERROR(__xludf.DUMMYFUNCTION("""COMPUTED_VALUE"""),9038.0)</f>
        <v>9038</v>
      </c>
      <c r="B891" s="8" t="str">
        <f>IFERROR(__xludf.DUMMYFUNCTION("""COMPUTED_VALUE"""),"tree")</f>
        <v>tree</v>
      </c>
      <c r="C891" s="8" t="str">
        <f>IFERROR(__xludf.DUMMYFUNCTION("""COMPUTED_VALUE"""),"graft")</f>
        <v>graft</v>
      </c>
      <c r="D891" s="55" t="str">
        <f>IFERROR(__xludf.DUMMYFUNCTION("""COMPUTED_VALUE"""),"Persea americana")</f>
        <v>Persea americana</v>
      </c>
      <c r="E891" s="8" t="str">
        <f>IFERROR(__xludf.DUMMYFUNCTION("""COMPUTED_VALUE"""),"Custers Red")</f>
        <v>Custers Red</v>
      </c>
      <c r="F891" s="8" t="str">
        <f>IFERROR(__xludf.DUMMYFUNCTION("""COMPUTED_VALUE"""),"Avocado")</f>
        <v>Avocado</v>
      </c>
      <c r="G891" s="8" t="str">
        <f>IFERROR(__xludf.DUMMYFUNCTION("""COMPUTED_VALUE"""),"Avocat")</f>
        <v>Avocat</v>
      </c>
      <c r="H891" s="8" t="str">
        <f>IFERROR(__xludf.DUMMYFUNCTION("""COMPUTED_VALUE"""),"seed")</f>
        <v>seed</v>
      </c>
      <c r="I891" s="8"/>
      <c r="J891" s="8"/>
      <c r="K891" s="8"/>
      <c r="L891" s="8">
        <f>IFERROR(__xludf.DUMMYFUNCTION("""COMPUTED_VALUE"""),1.0)</f>
        <v>1</v>
      </c>
      <c r="M891" s="8">
        <f>IFERROR(__xludf.DUMMYFUNCTION("""COMPUTED_VALUE"""),0.0)</f>
        <v>0</v>
      </c>
      <c r="N891" s="8">
        <f>IFERROR(__xludf.DUMMYFUNCTION("""COMPUTED_VALUE"""),1.0)</f>
        <v>1</v>
      </c>
      <c r="O891" s="8"/>
      <c r="P891" s="8"/>
      <c r="Q891" s="8"/>
      <c r="R891" s="8"/>
      <c r="S891" s="8"/>
      <c r="T891" s="8"/>
      <c r="U891" s="8"/>
      <c r="V891" s="8"/>
      <c r="W891" s="8"/>
      <c r="X891" s="8"/>
      <c r="Y891" s="8"/>
      <c r="Z891" s="8"/>
    </row>
    <row r="892">
      <c r="A892" s="8">
        <f>IFERROR(__xludf.DUMMYFUNCTION("""COMPUTED_VALUE"""),9039.0)</f>
        <v>9039</v>
      </c>
      <c r="B892" s="8" t="str">
        <f>IFERROR(__xludf.DUMMYFUNCTION("""COMPUTED_VALUE"""),"tree")</f>
        <v>tree</v>
      </c>
      <c r="C892" s="8" t="str">
        <f>IFERROR(__xludf.DUMMYFUNCTION("""COMPUTED_VALUE"""),"graft")</f>
        <v>graft</v>
      </c>
      <c r="D892" s="55" t="str">
        <f>IFERROR(__xludf.DUMMYFUNCTION("""COMPUTED_VALUE"""),"Persea americana")</f>
        <v>Persea americana</v>
      </c>
      <c r="E892" s="8" t="str">
        <f>IFERROR(__xludf.DUMMYFUNCTION("""COMPUTED_VALUE"""),"Custers Red")</f>
        <v>Custers Red</v>
      </c>
      <c r="F892" s="8" t="str">
        <f>IFERROR(__xludf.DUMMYFUNCTION("""COMPUTED_VALUE"""),"Avocado")</f>
        <v>Avocado</v>
      </c>
      <c r="G892" s="8" t="str">
        <f>IFERROR(__xludf.DUMMYFUNCTION("""COMPUTED_VALUE"""),"Avocat")</f>
        <v>Avocat</v>
      </c>
      <c r="H892" s="8" t="str">
        <f>IFERROR(__xludf.DUMMYFUNCTION("""COMPUTED_VALUE"""),"seed")</f>
        <v>seed</v>
      </c>
      <c r="I892" s="8"/>
      <c r="J892" s="8"/>
      <c r="K892" s="8"/>
      <c r="L892" s="8">
        <f>IFERROR(__xludf.DUMMYFUNCTION("""COMPUTED_VALUE"""),1.0)</f>
        <v>1</v>
      </c>
      <c r="M892" s="8">
        <f>IFERROR(__xludf.DUMMYFUNCTION("""COMPUTED_VALUE"""),0.0)</f>
        <v>0</v>
      </c>
      <c r="N892" s="8">
        <f>IFERROR(__xludf.DUMMYFUNCTION("""COMPUTED_VALUE"""),1.0)</f>
        <v>1</v>
      </c>
      <c r="O892" s="8"/>
      <c r="P892" s="8"/>
      <c r="Q892" s="8"/>
      <c r="R892" s="8"/>
      <c r="S892" s="8"/>
      <c r="T892" s="8"/>
      <c r="U892" s="8"/>
      <c r="V892" s="8"/>
      <c r="W892" s="8"/>
      <c r="X892" s="8"/>
      <c r="Y892" s="8"/>
      <c r="Z892" s="8"/>
    </row>
    <row r="893">
      <c r="A893" s="8">
        <f>IFERROR(__xludf.DUMMYFUNCTION("""COMPUTED_VALUE"""),9043.0)</f>
        <v>9043</v>
      </c>
      <c r="B893" s="8" t="str">
        <f>IFERROR(__xludf.DUMMYFUNCTION("""COMPUTED_VALUE"""),"tree")</f>
        <v>tree</v>
      </c>
      <c r="C893" s="8" t="str">
        <f>IFERROR(__xludf.DUMMYFUNCTION("""COMPUTED_VALUE"""),"graft")</f>
        <v>graft</v>
      </c>
      <c r="D893" s="55" t="str">
        <f>IFERROR(__xludf.DUMMYFUNCTION("""COMPUTED_VALUE"""),"Persea americana")</f>
        <v>Persea americana</v>
      </c>
      <c r="E893" s="8" t="str">
        <f>IFERROR(__xludf.DUMMYFUNCTION("""COMPUTED_VALUE"""),"Florida Hass")</f>
        <v>Florida Hass</v>
      </c>
      <c r="F893" s="8" t="str">
        <f>IFERROR(__xludf.DUMMYFUNCTION("""COMPUTED_VALUE"""),"Avocado")</f>
        <v>Avocado</v>
      </c>
      <c r="G893" s="8" t="str">
        <f>IFERROR(__xludf.DUMMYFUNCTION("""COMPUTED_VALUE"""),"Avocat")</f>
        <v>Avocat</v>
      </c>
      <c r="H893" s="8" t="str">
        <f>IFERROR(__xludf.DUMMYFUNCTION("""COMPUTED_VALUE"""),"Avocado")</f>
        <v>Avocado</v>
      </c>
      <c r="I893" s="8"/>
      <c r="J893" s="8"/>
      <c r="K893" s="8"/>
      <c r="L893" s="8">
        <f>IFERROR(__xludf.DUMMYFUNCTION("""COMPUTED_VALUE"""),1.0)</f>
        <v>1</v>
      </c>
      <c r="M893" s="8">
        <f>IFERROR(__xludf.DUMMYFUNCTION("""COMPUTED_VALUE"""),0.0)</f>
        <v>0</v>
      </c>
      <c r="N893" s="8">
        <f>IFERROR(__xludf.DUMMYFUNCTION("""COMPUTED_VALUE"""),0.0)</f>
        <v>0</v>
      </c>
      <c r="O893" s="8"/>
      <c r="P893" s="8"/>
      <c r="Q893" s="8"/>
      <c r="R893" s="8"/>
      <c r="S893" s="8"/>
      <c r="T893" s="8"/>
      <c r="U893" s="8"/>
      <c r="V893" s="8"/>
      <c r="W893" s="8"/>
      <c r="X893" s="8"/>
      <c r="Y893" s="8"/>
      <c r="Z893" s="8"/>
    </row>
    <row r="894">
      <c r="A894" s="8">
        <f>IFERROR(__xludf.DUMMYFUNCTION("""COMPUTED_VALUE"""),9044.0)</f>
        <v>9044</v>
      </c>
      <c r="B894" s="8" t="str">
        <f>IFERROR(__xludf.DUMMYFUNCTION("""COMPUTED_VALUE"""),"tree")</f>
        <v>tree</v>
      </c>
      <c r="C894" s="8" t="str">
        <f>IFERROR(__xludf.DUMMYFUNCTION("""COMPUTED_VALUE"""),"graft")</f>
        <v>graft</v>
      </c>
      <c r="D894" s="55" t="str">
        <f>IFERROR(__xludf.DUMMYFUNCTION("""COMPUTED_VALUE"""),"Persea americana")</f>
        <v>Persea americana</v>
      </c>
      <c r="E894" s="8" t="str">
        <f>IFERROR(__xludf.DUMMYFUNCTION("""COMPUTED_VALUE"""),"Fuerte")</f>
        <v>Fuerte</v>
      </c>
      <c r="F894" s="8" t="str">
        <f>IFERROR(__xludf.DUMMYFUNCTION("""COMPUTED_VALUE"""),"Avocado")</f>
        <v>Avocado</v>
      </c>
      <c r="G894" s="8" t="str">
        <f>IFERROR(__xludf.DUMMYFUNCTION("""COMPUTED_VALUE"""),"Avocat")</f>
        <v>Avocat</v>
      </c>
      <c r="H894" s="8" t="str">
        <f>IFERROR(__xludf.DUMMYFUNCTION("""COMPUTED_VALUE"""),"seed")</f>
        <v>seed</v>
      </c>
      <c r="I894" s="8"/>
      <c r="J894" s="8"/>
      <c r="K894" s="8"/>
      <c r="L894" s="8">
        <f>IFERROR(__xludf.DUMMYFUNCTION("""COMPUTED_VALUE"""),1.0)</f>
        <v>1</v>
      </c>
      <c r="M894" s="8">
        <f>IFERROR(__xludf.DUMMYFUNCTION("""COMPUTED_VALUE"""),0.0)</f>
        <v>0</v>
      </c>
      <c r="N894" s="8">
        <f>IFERROR(__xludf.DUMMYFUNCTION("""COMPUTED_VALUE"""),0.0)</f>
        <v>0</v>
      </c>
      <c r="O894" s="8"/>
      <c r="P894" s="8"/>
      <c r="Q894" s="8"/>
      <c r="R894" s="8"/>
      <c r="S894" s="8"/>
      <c r="T894" s="8"/>
      <c r="U894" s="8"/>
      <c r="V894" s="8"/>
      <c r="W894" s="8"/>
      <c r="X894" s="8"/>
      <c r="Y894" s="8"/>
      <c r="Z894" s="8"/>
    </row>
    <row r="895">
      <c r="A895" s="8">
        <f>IFERROR(__xludf.DUMMYFUNCTION("""COMPUTED_VALUE"""),9045.0)</f>
        <v>9045</v>
      </c>
      <c r="B895" s="8" t="str">
        <f>IFERROR(__xludf.DUMMYFUNCTION("""COMPUTED_VALUE"""),"tree")</f>
        <v>tree</v>
      </c>
      <c r="C895" s="8" t="str">
        <f>IFERROR(__xludf.DUMMYFUNCTION("""COMPUTED_VALUE"""),"graft")</f>
        <v>graft</v>
      </c>
      <c r="D895" s="55" t="str">
        <f>IFERROR(__xludf.DUMMYFUNCTION("""COMPUTED_VALUE"""),"Persea americana")</f>
        <v>Persea americana</v>
      </c>
      <c r="E895" s="8" t="str">
        <f>IFERROR(__xludf.DUMMYFUNCTION("""COMPUTED_VALUE"""),"Fuerte")</f>
        <v>Fuerte</v>
      </c>
      <c r="F895" s="8" t="str">
        <f>IFERROR(__xludf.DUMMYFUNCTION("""COMPUTED_VALUE"""),"Avocado")</f>
        <v>Avocado</v>
      </c>
      <c r="G895" s="8" t="str">
        <f>IFERROR(__xludf.DUMMYFUNCTION("""COMPUTED_VALUE"""),"Avocat")</f>
        <v>Avocat</v>
      </c>
      <c r="H895" s="8" t="str">
        <f>IFERROR(__xludf.DUMMYFUNCTION("""COMPUTED_VALUE"""),"seed")</f>
        <v>seed</v>
      </c>
      <c r="I895" s="8"/>
      <c r="J895" s="8"/>
      <c r="K895" s="8"/>
      <c r="L895" s="8">
        <f>IFERROR(__xludf.DUMMYFUNCTION("""COMPUTED_VALUE"""),1.0)</f>
        <v>1</v>
      </c>
      <c r="M895" s="8">
        <f>IFERROR(__xludf.DUMMYFUNCTION("""COMPUTED_VALUE"""),0.0)</f>
        <v>0</v>
      </c>
      <c r="N895" s="8">
        <f>IFERROR(__xludf.DUMMYFUNCTION("""COMPUTED_VALUE"""),0.0)</f>
        <v>0</v>
      </c>
      <c r="O895" s="8"/>
      <c r="P895" s="8"/>
      <c r="Q895" s="8"/>
      <c r="R895" s="8"/>
      <c r="S895" s="8"/>
      <c r="T895" s="8"/>
      <c r="U895" s="8"/>
      <c r="V895" s="8"/>
      <c r="W895" s="8"/>
      <c r="X895" s="8"/>
      <c r="Y895" s="8"/>
      <c r="Z895" s="8"/>
    </row>
    <row r="896">
      <c r="A896" s="8">
        <f>IFERROR(__xludf.DUMMYFUNCTION("""COMPUTED_VALUE"""),9046.0)</f>
        <v>9046</v>
      </c>
      <c r="B896" s="8" t="str">
        <f>IFERROR(__xludf.DUMMYFUNCTION("""COMPUTED_VALUE"""),"tree")</f>
        <v>tree</v>
      </c>
      <c r="C896" s="8" t="str">
        <f>IFERROR(__xludf.DUMMYFUNCTION("""COMPUTED_VALUE"""),"graft")</f>
        <v>graft</v>
      </c>
      <c r="D896" s="55" t="str">
        <f>IFERROR(__xludf.DUMMYFUNCTION("""COMPUTED_VALUE"""),"Persea americana")</f>
        <v>Persea americana</v>
      </c>
      <c r="E896" s="8" t="str">
        <f>IFERROR(__xludf.DUMMYFUNCTION("""COMPUTED_VALUE"""),"Hall")</f>
        <v>Hall</v>
      </c>
      <c r="F896" s="8" t="str">
        <f>IFERROR(__xludf.DUMMYFUNCTION("""COMPUTED_VALUE"""),"Avocado")</f>
        <v>Avocado</v>
      </c>
      <c r="G896" s="8" t="str">
        <f>IFERROR(__xludf.DUMMYFUNCTION("""COMPUTED_VALUE"""),"Avocat")</f>
        <v>Avocat</v>
      </c>
      <c r="H896" s="8" t="str">
        <f>IFERROR(__xludf.DUMMYFUNCTION("""COMPUTED_VALUE"""),"cutting")</f>
        <v>cutting</v>
      </c>
      <c r="I896" s="8" t="str">
        <f>IFERROR(__xludf.DUMMYFUNCTION("""COMPUTED_VALUE"""),"030A")</f>
        <v>030A</v>
      </c>
      <c r="J896" s="8"/>
      <c r="K896" s="8"/>
      <c r="L896" s="8">
        <f>IFERROR(__xludf.DUMMYFUNCTION("""COMPUTED_VALUE"""),1.0)</f>
        <v>1</v>
      </c>
      <c r="M896" s="8">
        <f>IFERROR(__xludf.DUMMYFUNCTION("""COMPUTED_VALUE"""),1.0)</f>
        <v>1</v>
      </c>
      <c r="N896" s="8">
        <f>IFERROR(__xludf.DUMMYFUNCTION("""COMPUTED_VALUE"""),1.0)</f>
        <v>1</v>
      </c>
      <c r="O896" s="8"/>
      <c r="P896" s="8"/>
      <c r="Q896" s="8"/>
      <c r="R896" s="8"/>
      <c r="S896" s="8"/>
      <c r="T896" s="8"/>
      <c r="U896" s="8"/>
      <c r="V896" s="8"/>
      <c r="W896" s="8"/>
      <c r="X896" s="8"/>
      <c r="Y896" s="8"/>
      <c r="Z896" s="8"/>
    </row>
    <row r="897">
      <c r="A897" s="8">
        <f>IFERROR(__xludf.DUMMYFUNCTION("""COMPUTED_VALUE"""),9048.0)</f>
        <v>9048</v>
      </c>
      <c r="B897" s="8" t="str">
        <f>IFERROR(__xludf.DUMMYFUNCTION("""COMPUTED_VALUE"""),"tree")</f>
        <v>tree</v>
      </c>
      <c r="C897" s="8" t="str">
        <f>IFERROR(__xludf.DUMMYFUNCTION("""COMPUTED_VALUE"""),"graft")</f>
        <v>graft</v>
      </c>
      <c r="D897" s="55" t="str">
        <f>IFERROR(__xludf.DUMMYFUNCTION("""COMPUTED_VALUE"""),"Persea americana")</f>
        <v>Persea americana</v>
      </c>
      <c r="E897" s="8" t="str">
        <f>IFERROR(__xludf.DUMMYFUNCTION("""COMPUTED_VALUE"""),"Heath")</f>
        <v>Heath</v>
      </c>
      <c r="F897" s="8" t="str">
        <f>IFERROR(__xludf.DUMMYFUNCTION("""COMPUTED_VALUE"""),"Avocado")</f>
        <v>Avocado</v>
      </c>
      <c r="G897" s="8" t="str">
        <f>IFERROR(__xludf.DUMMYFUNCTION("""COMPUTED_VALUE"""),"Avocat")</f>
        <v>Avocat</v>
      </c>
      <c r="H897" s="8" t="str">
        <f>IFERROR(__xludf.DUMMYFUNCTION("""COMPUTED_VALUE"""),"seed")</f>
        <v>seed</v>
      </c>
      <c r="I897" s="8"/>
      <c r="J897" s="8"/>
      <c r="K897" s="8"/>
      <c r="L897" s="8">
        <f>IFERROR(__xludf.DUMMYFUNCTION("""COMPUTED_VALUE"""),1.0)</f>
        <v>1</v>
      </c>
      <c r="M897" s="8">
        <f>IFERROR(__xludf.DUMMYFUNCTION("""COMPUTED_VALUE"""),1.0)</f>
        <v>1</v>
      </c>
      <c r="N897" s="8">
        <f>IFERROR(__xludf.DUMMYFUNCTION("""COMPUTED_VALUE"""),1.0)</f>
        <v>1</v>
      </c>
      <c r="O897" s="8"/>
      <c r="P897" s="8"/>
      <c r="Q897" s="8"/>
      <c r="R897" s="8"/>
      <c r="S897" s="8"/>
      <c r="T897" s="8"/>
      <c r="U897" s="8"/>
      <c r="V897" s="8"/>
      <c r="W897" s="8"/>
      <c r="X897" s="8"/>
      <c r="Y897" s="8"/>
      <c r="Z897" s="8"/>
    </row>
    <row r="898">
      <c r="A898" s="8">
        <f>IFERROR(__xludf.DUMMYFUNCTION("""COMPUTED_VALUE"""),9050.0)</f>
        <v>9050</v>
      </c>
      <c r="B898" s="8" t="str">
        <f>IFERROR(__xludf.DUMMYFUNCTION("""COMPUTED_VALUE"""),"tree")</f>
        <v>tree</v>
      </c>
      <c r="C898" s="8" t="str">
        <f>IFERROR(__xludf.DUMMYFUNCTION("""COMPUTED_VALUE"""),"graft")</f>
        <v>graft</v>
      </c>
      <c r="D898" s="55" t="str">
        <f>IFERROR(__xludf.DUMMYFUNCTION("""COMPUTED_VALUE"""),"Persea americana")</f>
        <v>Persea americana</v>
      </c>
      <c r="E898" s="8" t="str">
        <f>IFERROR(__xludf.DUMMYFUNCTION("""COMPUTED_VALUE"""),"Mexicola")</f>
        <v>Mexicola</v>
      </c>
      <c r="F898" s="8" t="str">
        <f>IFERROR(__xludf.DUMMYFUNCTION("""COMPUTED_VALUE"""),"Avocado")</f>
        <v>Avocado</v>
      </c>
      <c r="G898" s="8" t="str">
        <f>IFERROR(__xludf.DUMMYFUNCTION("""COMPUTED_VALUE"""),"Avocat")</f>
        <v>Avocat</v>
      </c>
      <c r="H898" s="8" t="str">
        <f>IFERROR(__xludf.DUMMYFUNCTION("""COMPUTED_VALUE"""),"Avocado")</f>
        <v>Avocado</v>
      </c>
      <c r="I898" s="8"/>
      <c r="J898" s="8"/>
      <c r="K898" s="8"/>
      <c r="L898" s="8">
        <f>IFERROR(__xludf.DUMMYFUNCTION("""COMPUTED_VALUE"""),1.0)</f>
        <v>1</v>
      </c>
      <c r="M898" s="8">
        <f>IFERROR(__xludf.DUMMYFUNCTION("""COMPUTED_VALUE"""),0.0)</f>
        <v>0</v>
      </c>
      <c r="N898" s="8">
        <f>IFERROR(__xludf.DUMMYFUNCTION("""COMPUTED_VALUE"""),0.0)</f>
        <v>0</v>
      </c>
      <c r="O898" s="8"/>
      <c r="P898" s="8"/>
      <c r="Q898" s="8"/>
      <c r="R898" s="8"/>
      <c r="S898" s="8"/>
      <c r="T898" s="8"/>
      <c r="U898" s="8"/>
      <c r="V898" s="8"/>
      <c r="W898" s="8"/>
      <c r="X898" s="8"/>
      <c r="Y898" s="8"/>
      <c r="Z898" s="8"/>
    </row>
    <row r="899">
      <c r="A899" s="8">
        <f>IFERROR(__xludf.DUMMYFUNCTION("""COMPUTED_VALUE"""),9051.0)</f>
        <v>9051</v>
      </c>
      <c r="B899" s="8" t="str">
        <f>IFERROR(__xludf.DUMMYFUNCTION("""COMPUTED_VALUE"""),"tree")</f>
        <v>tree</v>
      </c>
      <c r="C899" s="8" t="str">
        <f>IFERROR(__xludf.DUMMYFUNCTION("""COMPUTED_VALUE"""),"graft")</f>
        <v>graft</v>
      </c>
      <c r="D899" s="55" t="str">
        <f>IFERROR(__xludf.DUMMYFUNCTION("""COMPUTED_VALUE"""),"Persea americana")</f>
        <v>Persea americana</v>
      </c>
      <c r="E899" s="8" t="str">
        <f>IFERROR(__xludf.DUMMYFUNCTION("""COMPUTED_VALUE"""),"Mexicola")</f>
        <v>Mexicola</v>
      </c>
      <c r="F899" s="8" t="str">
        <f>IFERROR(__xludf.DUMMYFUNCTION("""COMPUTED_VALUE"""),"Avocado")</f>
        <v>Avocado</v>
      </c>
      <c r="G899" s="8" t="str">
        <f>IFERROR(__xludf.DUMMYFUNCTION("""COMPUTED_VALUE"""),"Avocat")</f>
        <v>Avocat</v>
      </c>
      <c r="H899" s="8" t="str">
        <f>IFERROR(__xludf.DUMMYFUNCTION("""COMPUTED_VALUE"""),"Avocado")</f>
        <v>Avocado</v>
      </c>
      <c r="I899" s="8" t="str">
        <f>IFERROR(__xludf.DUMMYFUNCTION("""COMPUTED_VALUE"""),"097A")</f>
        <v>097A</v>
      </c>
      <c r="J899" s="8"/>
      <c r="K899" s="8"/>
      <c r="L899" s="8">
        <f>IFERROR(__xludf.DUMMYFUNCTION("""COMPUTED_VALUE"""),1.0)</f>
        <v>1</v>
      </c>
      <c r="M899" s="8">
        <f>IFERROR(__xludf.DUMMYFUNCTION("""COMPUTED_VALUE"""),0.0)</f>
        <v>0</v>
      </c>
      <c r="N899" s="8">
        <f>IFERROR(__xludf.DUMMYFUNCTION("""COMPUTED_VALUE"""),0.0)</f>
        <v>0</v>
      </c>
      <c r="O899" s="8"/>
      <c r="P899" s="8"/>
      <c r="Q899" s="8"/>
      <c r="R899" s="8"/>
      <c r="S899" s="8"/>
      <c r="T899" s="8"/>
      <c r="U899" s="8"/>
      <c r="V899" s="8"/>
      <c r="W899" s="8"/>
      <c r="X899" s="8"/>
      <c r="Y899" s="8"/>
      <c r="Z899" s="8"/>
    </row>
    <row r="900">
      <c r="A900" s="8">
        <f>IFERROR(__xludf.DUMMYFUNCTION("""COMPUTED_VALUE"""),9052.0)</f>
        <v>9052</v>
      </c>
      <c r="B900" s="8" t="str">
        <f>IFERROR(__xludf.DUMMYFUNCTION("""COMPUTED_VALUE"""),"tree")</f>
        <v>tree</v>
      </c>
      <c r="C900" s="8" t="str">
        <f>IFERROR(__xludf.DUMMYFUNCTION("""COMPUTED_VALUE"""),"graft")</f>
        <v>graft</v>
      </c>
      <c r="D900" s="55" t="str">
        <f>IFERROR(__xludf.DUMMYFUNCTION("""COMPUTED_VALUE"""),"Persea americana")</f>
        <v>Persea americana</v>
      </c>
      <c r="E900" s="8" t="str">
        <f>IFERROR(__xludf.DUMMYFUNCTION("""COMPUTED_VALUE"""),"Russell")</f>
        <v>Russell</v>
      </c>
      <c r="F900" s="8" t="str">
        <f>IFERROR(__xludf.DUMMYFUNCTION("""COMPUTED_VALUE"""),"Avocado")</f>
        <v>Avocado</v>
      </c>
      <c r="G900" s="8" t="str">
        <f>IFERROR(__xludf.DUMMYFUNCTION("""COMPUTED_VALUE"""),"Avocat")</f>
        <v>Avocat</v>
      </c>
      <c r="H900" s="8" t="str">
        <f>IFERROR(__xludf.DUMMYFUNCTION("""COMPUTED_VALUE"""),"Avocado")</f>
        <v>Avocado</v>
      </c>
      <c r="I900" s="8"/>
      <c r="J900" s="8"/>
      <c r="K900" s="8"/>
      <c r="L900" s="8">
        <f>IFERROR(__xludf.DUMMYFUNCTION("""COMPUTED_VALUE"""),1.0)</f>
        <v>1</v>
      </c>
      <c r="M900" s="8">
        <f>IFERROR(__xludf.DUMMYFUNCTION("""COMPUTED_VALUE"""),1.0)</f>
        <v>1</v>
      </c>
      <c r="N900" s="8">
        <f>IFERROR(__xludf.DUMMYFUNCTION("""COMPUTED_VALUE"""),1.0)</f>
        <v>1</v>
      </c>
      <c r="O900" s="8"/>
      <c r="P900" s="8"/>
      <c r="Q900" s="8"/>
      <c r="R900" s="8"/>
      <c r="S900" s="8"/>
      <c r="T900" s="8"/>
      <c r="U900" s="8"/>
      <c r="V900" s="8"/>
      <c r="W900" s="8"/>
      <c r="X900" s="8"/>
      <c r="Y900" s="8"/>
      <c r="Z900" s="8"/>
    </row>
    <row r="901">
      <c r="A901" s="8">
        <f>IFERROR(__xludf.DUMMYFUNCTION("""COMPUTED_VALUE"""),9053.0)</f>
        <v>9053</v>
      </c>
      <c r="B901" s="8" t="str">
        <f>IFERROR(__xludf.DUMMYFUNCTION("""COMPUTED_VALUE"""),"tree")</f>
        <v>tree</v>
      </c>
      <c r="C901" s="8" t="str">
        <f>IFERROR(__xludf.DUMMYFUNCTION("""COMPUTED_VALUE"""),"graft")</f>
        <v>graft</v>
      </c>
      <c r="D901" s="55" t="str">
        <f>IFERROR(__xludf.DUMMYFUNCTION("""COMPUTED_VALUE"""),"Persea americana")</f>
        <v>Persea americana</v>
      </c>
      <c r="E901" s="8" t="str">
        <f>IFERROR(__xludf.DUMMYFUNCTION("""COMPUTED_VALUE"""),"Simmonds")</f>
        <v>Simmonds</v>
      </c>
      <c r="F901" s="8" t="str">
        <f>IFERROR(__xludf.DUMMYFUNCTION("""COMPUTED_VALUE"""),"Avocado")</f>
        <v>Avocado</v>
      </c>
      <c r="G901" s="8" t="str">
        <f>IFERROR(__xludf.DUMMYFUNCTION("""COMPUTED_VALUE"""),"Avocat")</f>
        <v>Avocat</v>
      </c>
      <c r="H901" s="8" t="str">
        <f>IFERROR(__xludf.DUMMYFUNCTION("""COMPUTED_VALUE"""),"Avocado")</f>
        <v>Avocado</v>
      </c>
      <c r="I901" s="8"/>
      <c r="J901" s="8"/>
      <c r="K901" s="8"/>
      <c r="L901" s="8">
        <f>IFERROR(__xludf.DUMMYFUNCTION("""COMPUTED_VALUE"""),1.0)</f>
        <v>1</v>
      </c>
      <c r="M901" s="8">
        <f>IFERROR(__xludf.DUMMYFUNCTION("""COMPUTED_VALUE"""),1.0)</f>
        <v>1</v>
      </c>
      <c r="N901" s="8">
        <f>IFERROR(__xludf.DUMMYFUNCTION("""COMPUTED_VALUE"""),1.0)</f>
        <v>1</v>
      </c>
      <c r="O901" s="8"/>
      <c r="P901" s="8"/>
      <c r="Q901" s="8"/>
      <c r="R901" s="8"/>
      <c r="S901" s="8"/>
      <c r="T901" s="8"/>
      <c r="U901" s="8"/>
      <c r="V901" s="8"/>
      <c r="W901" s="8"/>
      <c r="X901" s="8"/>
      <c r="Y901" s="8"/>
      <c r="Z901" s="8"/>
    </row>
    <row r="902">
      <c r="A902" s="8">
        <f>IFERROR(__xludf.DUMMYFUNCTION("""COMPUTED_VALUE"""),9055.0)</f>
        <v>9055</v>
      </c>
      <c r="B902" s="8" t="str">
        <f>IFERROR(__xludf.DUMMYFUNCTION("""COMPUTED_VALUE"""),"tree")</f>
        <v>tree</v>
      </c>
      <c r="C902" s="8" t="str">
        <f>IFERROR(__xludf.DUMMYFUNCTION("""COMPUTED_VALUE"""),"graft")</f>
        <v>graft</v>
      </c>
      <c r="D902" s="55" t="str">
        <f>IFERROR(__xludf.DUMMYFUNCTION("""COMPUTED_VALUE"""),"Persea americana")</f>
        <v>Persea americana</v>
      </c>
      <c r="E902" s="8" t="str">
        <f>IFERROR(__xludf.DUMMYFUNCTION("""COMPUTED_VALUE"""),"Spice Park Red")</f>
        <v>Spice Park Red</v>
      </c>
      <c r="F902" s="8" t="str">
        <f>IFERROR(__xludf.DUMMYFUNCTION("""COMPUTED_VALUE"""),"Avocado")</f>
        <v>Avocado</v>
      </c>
      <c r="G902" s="8" t="str">
        <f>IFERROR(__xludf.DUMMYFUNCTION("""COMPUTED_VALUE"""),"Avocat")</f>
        <v>Avocat</v>
      </c>
      <c r="H902" s="8" t="str">
        <f>IFERROR(__xludf.DUMMYFUNCTION("""COMPUTED_VALUE"""),"Avocado")</f>
        <v>Avocado</v>
      </c>
      <c r="I902" s="8"/>
      <c r="J902" s="8"/>
      <c r="K902" s="8"/>
      <c r="L902" s="8">
        <f>IFERROR(__xludf.DUMMYFUNCTION("""COMPUTED_VALUE"""),1.0)</f>
        <v>1</v>
      </c>
      <c r="M902" s="8">
        <f>IFERROR(__xludf.DUMMYFUNCTION("""COMPUTED_VALUE"""),1.0)</f>
        <v>1</v>
      </c>
      <c r="N902" s="8">
        <f>IFERROR(__xludf.DUMMYFUNCTION("""COMPUTED_VALUE"""),1.0)</f>
        <v>1</v>
      </c>
      <c r="O902" s="8"/>
      <c r="P902" s="8"/>
      <c r="Q902" s="8"/>
      <c r="R902" s="8"/>
      <c r="S902" s="8"/>
      <c r="T902" s="8"/>
      <c r="U902" s="8"/>
      <c r="V902" s="8"/>
      <c r="W902" s="8"/>
      <c r="X902" s="8"/>
      <c r="Y902" s="8"/>
      <c r="Z902" s="8"/>
    </row>
    <row r="903">
      <c r="A903" s="8">
        <f>IFERROR(__xludf.DUMMYFUNCTION("""COMPUTED_VALUE"""),9058.0)</f>
        <v>9058</v>
      </c>
      <c r="B903" s="8" t="str">
        <f>IFERROR(__xludf.DUMMYFUNCTION("""COMPUTED_VALUE"""),"tree")</f>
        <v>tree</v>
      </c>
      <c r="C903" s="8" t="str">
        <f>IFERROR(__xludf.DUMMYFUNCTION("""COMPUTED_VALUE"""),"graft")</f>
        <v>graft</v>
      </c>
      <c r="D903" s="55" t="str">
        <f>IFERROR(__xludf.DUMMYFUNCTION("""COMPUTED_VALUE"""),"Persea americana")</f>
        <v>Persea americana</v>
      </c>
      <c r="E903" s="8" t="str">
        <f>IFERROR(__xludf.DUMMYFUNCTION("""COMPUTED_VALUE"""),"Thompson Red")</f>
        <v>Thompson Red</v>
      </c>
      <c r="F903" s="8" t="str">
        <f>IFERROR(__xludf.DUMMYFUNCTION("""COMPUTED_VALUE"""),"Avocado")</f>
        <v>Avocado</v>
      </c>
      <c r="G903" s="8" t="str">
        <f>IFERROR(__xludf.DUMMYFUNCTION("""COMPUTED_VALUE"""),"Avocat")</f>
        <v>Avocat</v>
      </c>
      <c r="H903" s="8" t="str">
        <f>IFERROR(__xludf.DUMMYFUNCTION("""COMPUTED_VALUE"""),"Avocado")</f>
        <v>Avocado</v>
      </c>
      <c r="I903" s="8"/>
      <c r="J903" s="8"/>
      <c r="K903" s="8"/>
      <c r="L903" s="8">
        <f>IFERROR(__xludf.DUMMYFUNCTION("""COMPUTED_VALUE"""),1.0)</f>
        <v>1</v>
      </c>
      <c r="M903" s="8">
        <f>IFERROR(__xludf.DUMMYFUNCTION("""COMPUTED_VALUE"""),0.0)</f>
        <v>0</v>
      </c>
      <c r="N903" s="8">
        <f>IFERROR(__xludf.DUMMYFUNCTION("""COMPUTED_VALUE"""),0.0)</f>
        <v>0</v>
      </c>
      <c r="O903" s="8"/>
      <c r="P903" s="8"/>
      <c r="Q903" s="8"/>
      <c r="R903" s="8"/>
      <c r="S903" s="8"/>
      <c r="T903" s="8"/>
      <c r="U903" s="8"/>
      <c r="V903" s="8"/>
      <c r="W903" s="8"/>
      <c r="X903" s="8"/>
      <c r="Y903" s="8"/>
      <c r="Z903" s="8"/>
    </row>
    <row r="904">
      <c r="A904" s="8">
        <f>IFERROR(__xludf.DUMMYFUNCTION("""COMPUTED_VALUE"""),9060.0)</f>
        <v>9060</v>
      </c>
      <c r="B904" s="8" t="str">
        <f>IFERROR(__xludf.DUMMYFUNCTION("""COMPUTED_VALUE"""),"tree")</f>
        <v>tree</v>
      </c>
      <c r="C904" s="8" t="str">
        <f>IFERROR(__xludf.DUMMYFUNCTION("""COMPUTED_VALUE"""),"graft")</f>
        <v>graft</v>
      </c>
      <c r="D904" s="55" t="str">
        <f>IFERROR(__xludf.DUMMYFUNCTION("""COMPUTED_VALUE"""),"Plinia cauliflora")</f>
        <v>Plinia cauliflora</v>
      </c>
      <c r="E904" s="8" t="str">
        <f>IFERROR(__xludf.DUMMYFUNCTION("""COMPUTED_VALUE"""),"Sabara Black")</f>
        <v>Sabara Black</v>
      </c>
      <c r="F904" s="8" t="str">
        <f>IFERROR(__xludf.DUMMYFUNCTION("""COMPUTED_VALUE"""),"Jaboticaba")</f>
        <v>Jaboticaba</v>
      </c>
      <c r="G904" s="8" t="str">
        <f>IFERROR(__xludf.DUMMYFUNCTION("""COMPUTED_VALUE"""),"Jaboticaba")</f>
        <v>Jaboticaba</v>
      </c>
      <c r="H904" s="8" t="str">
        <f>IFERROR(__xludf.DUMMYFUNCTION("""COMPUTED_VALUE"""),"Jaboticaba")</f>
        <v>Jaboticaba</v>
      </c>
      <c r="I904" s="8"/>
      <c r="J904" s="8"/>
      <c r="K904" s="8"/>
      <c r="L904" s="8"/>
      <c r="M904" s="8">
        <f>IFERROR(__xludf.DUMMYFUNCTION("""COMPUTED_VALUE"""),0.0)</f>
        <v>0</v>
      </c>
      <c r="N904" s="8">
        <f>IFERROR(__xludf.DUMMYFUNCTION("""COMPUTED_VALUE"""),0.0)</f>
        <v>0</v>
      </c>
      <c r="O904" s="8"/>
      <c r="P904" s="8"/>
      <c r="Q904" s="8"/>
      <c r="R904" s="8"/>
      <c r="S904" s="8"/>
      <c r="T904" s="8"/>
      <c r="U904" s="8"/>
      <c r="V904" s="8"/>
      <c r="W904" s="8"/>
      <c r="X904" s="8"/>
      <c r="Y904" s="8"/>
      <c r="Z904" s="8"/>
    </row>
    <row r="905">
      <c r="A905" s="8">
        <f>IFERROR(__xludf.DUMMYFUNCTION("""COMPUTED_VALUE"""),9061.0)</f>
        <v>9061</v>
      </c>
      <c r="B905" s="8" t="str">
        <f>IFERROR(__xludf.DUMMYFUNCTION("""COMPUTED_VALUE"""),"tree")</f>
        <v>tree</v>
      </c>
      <c r="C905" s="8" t="str">
        <f>IFERROR(__xludf.DUMMYFUNCTION("""COMPUTED_VALUE"""),"graft")</f>
        <v>graft</v>
      </c>
      <c r="D905" s="55" t="str">
        <f>IFERROR(__xludf.DUMMYFUNCTION("""COMPUTED_VALUE"""),"Plinia cauliflora")</f>
        <v>Plinia cauliflora</v>
      </c>
      <c r="E905" s="8" t="str">
        <f>IFERROR(__xludf.DUMMYFUNCTION("""COMPUTED_VALUE"""),"Sabara Black")</f>
        <v>Sabara Black</v>
      </c>
      <c r="F905" s="8" t="str">
        <f>IFERROR(__xludf.DUMMYFUNCTION("""COMPUTED_VALUE"""),"Jaboticaba")</f>
        <v>Jaboticaba</v>
      </c>
      <c r="G905" s="8" t="str">
        <f>IFERROR(__xludf.DUMMYFUNCTION("""COMPUTED_VALUE"""),"Jaboticaba")</f>
        <v>Jaboticaba</v>
      </c>
      <c r="H905" s="8" t="str">
        <f>IFERROR(__xludf.DUMMYFUNCTION("""COMPUTED_VALUE"""),"Jaboticaba")</f>
        <v>Jaboticaba</v>
      </c>
      <c r="I905" s="8"/>
      <c r="J905" s="8"/>
      <c r="K905" s="8"/>
      <c r="L905" s="8"/>
      <c r="M905" s="8">
        <f>IFERROR(__xludf.DUMMYFUNCTION("""COMPUTED_VALUE"""),0.0)</f>
        <v>0</v>
      </c>
      <c r="N905" s="8">
        <f>IFERROR(__xludf.DUMMYFUNCTION("""COMPUTED_VALUE"""),0.0)</f>
        <v>0</v>
      </c>
      <c r="O905" s="8"/>
      <c r="P905" s="8"/>
      <c r="Q905" s="8"/>
      <c r="R905" s="8"/>
      <c r="S905" s="8"/>
      <c r="T905" s="8"/>
      <c r="U905" s="8"/>
      <c r="V905" s="8"/>
      <c r="W905" s="8"/>
      <c r="X905" s="8"/>
      <c r="Y905" s="8"/>
      <c r="Z905" s="8"/>
    </row>
    <row r="906">
      <c r="A906" s="8">
        <f>IFERROR(__xludf.DUMMYFUNCTION("""COMPUTED_VALUE"""),9062.0)</f>
        <v>9062</v>
      </c>
      <c r="B906" s="8" t="str">
        <f>IFERROR(__xludf.DUMMYFUNCTION("""COMPUTED_VALUE"""),"tree")</f>
        <v>tree</v>
      </c>
      <c r="C906" s="8" t="str">
        <f>IFERROR(__xludf.DUMMYFUNCTION("""COMPUTED_VALUE"""),"seed")</f>
        <v>seed</v>
      </c>
      <c r="D906" s="55" t="str">
        <f>IFERROR(__xludf.DUMMYFUNCTION("""COMPUTED_VALUE"""),"Myrciaria glazioviana")</f>
        <v>Myrciaria glazioviana</v>
      </c>
      <c r="E906" s="8" t="str">
        <f>IFERROR(__xludf.DUMMYFUNCTION("""COMPUTED_VALUE"""),"Seedling")</f>
        <v>Seedling</v>
      </c>
      <c r="F906" s="8" t="str">
        <f>IFERROR(__xludf.DUMMYFUNCTION("""COMPUTED_VALUE"""),"Yellow Jaboticaba")</f>
        <v>Yellow Jaboticaba</v>
      </c>
      <c r="G906" s="8" t="str">
        <f>IFERROR(__xludf.DUMMYFUNCTION("""COMPUTED_VALUE"""),"Jaboticaba jaune")</f>
        <v>Jaboticaba jaune</v>
      </c>
      <c r="H906" s="8" t="str">
        <f>IFERROR(__xludf.DUMMYFUNCTION("""COMPUTED_VALUE"""),"Yellow Jaboticaba")</f>
        <v>Yellow Jaboticaba</v>
      </c>
      <c r="I906" s="8"/>
      <c r="J906" s="8"/>
      <c r="K906" s="8"/>
      <c r="L906" s="8"/>
      <c r="M906" s="8">
        <f>IFERROR(__xludf.DUMMYFUNCTION("""COMPUTED_VALUE"""),1.0)</f>
        <v>1</v>
      </c>
      <c r="N906" s="8">
        <f>IFERROR(__xludf.DUMMYFUNCTION("""COMPUTED_VALUE"""),1.0)</f>
        <v>1</v>
      </c>
      <c r="O906" s="8"/>
      <c r="P906" s="8"/>
      <c r="Q906" s="8"/>
      <c r="R906" s="8"/>
      <c r="S906" s="8"/>
      <c r="T906" s="8"/>
      <c r="U906" s="8"/>
      <c r="V906" s="8"/>
      <c r="W906" s="8"/>
      <c r="X906" s="8"/>
      <c r="Y906" s="8"/>
      <c r="Z906" s="8"/>
    </row>
    <row r="907">
      <c r="A907" s="8">
        <f>IFERROR(__xludf.DUMMYFUNCTION("""COMPUTED_VALUE"""),9065.0)</f>
        <v>9065</v>
      </c>
      <c r="B907" s="8" t="str">
        <f>IFERROR(__xludf.DUMMYFUNCTION("""COMPUTED_VALUE"""),"tree")</f>
        <v>tree</v>
      </c>
      <c r="C907" s="8" t="str">
        <f>IFERROR(__xludf.DUMMYFUNCTION("""COMPUTED_VALUE"""),"graft")</f>
        <v>graft</v>
      </c>
      <c r="D907" s="55" t="str">
        <f>IFERROR(__xludf.DUMMYFUNCTION("""COMPUTED_VALUE"""),"Artocarpus heterophyllus")</f>
        <v>Artocarpus heterophyllus</v>
      </c>
      <c r="E907" s="8" t="str">
        <f>IFERROR(__xludf.DUMMYFUNCTION("""COMPUTED_VALUE"""),"Xain")</f>
        <v>Xain</v>
      </c>
      <c r="F907" s="8" t="str">
        <f>IFERROR(__xludf.DUMMYFUNCTION("""COMPUTED_VALUE"""),"Jackfruit")</f>
        <v>Jackfruit</v>
      </c>
      <c r="G907" s="8" t="str">
        <f>IFERROR(__xludf.DUMMYFUNCTION("""COMPUTED_VALUE"""),"Jacquier")</f>
        <v>Jacquier</v>
      </c>
      <c r="H907" s="8" t="str">
        <f>IFERROR(__xludf.DUMMYFUNCTION("""COMPUTED_VALUE"""),"seed")</f>
        <v>seed</v>
      </c>
      <c r="I907" s="8"/>
      <c r="J907" s="8"/>
      <c r="K907" s="8"/>
      <c r="L907" s="8" t="str">
        <f>IFERROR(__xludf.DUMMYFUNCTION("""COMPUTED_VALUE"""),"multiple")</f>
        <v>multiple</v>
      </c>
      <c r="M907" s="8">
        <f>IFERROR(__xludf.DUMMYFUNCTION("""COMPUTED_VALUE"""),0.0)</f>
        <v>0</v>
      </c>
      <c r="N907" s="8">
        <f>IFERROR(__xludf.DUMMYFUNCTION("""COMPUTED_VALUE"""),0.0)</f>
        <v>0</v>
      </c>
      <c r="O907" s="8"/>
      <c r="P907" s="8"/>
      <c r="Q907" s="8"/>
      <c r="R907" s="8"/>
      <c r="S907" s="8"/>
      <c r="T907" s="8"/>
      <c r="U907" s="8"/>
      <c r="V907" s="8"/>
      <c r="W907" s="8"/>
      <c r="X907" s="8"/>
      <c r="Y907" s="8"/>
      <c r="Z907" s="8"/>
    </row>
    <row r="908">
      <c r="A908" s="8">
        <f>IFERROR(__xludf.DUMMYFUNCTION("""COMPUTED_VALUE"""),9066.0)</f>
        <v>9066</v>
      </c>
      <c r="B908" s="8" t="str">
        <f>IFERROR(__xludf.DUMMYFUNCTION("""COMPUTED_VALUE"""),"tree")</f>
        <v>tree</v>
      </c>
      <c r="C908" s="8" t="str">
        <f>IFERROR(__xludf.DUMMYFUNCTION("""COMPUTED_VALUE"""),"graft")</f>
        <v>graft</v>
      </c>
      <c r="D908" s="55" t="str">
        <f>IFERROR(__xludf.DUMMYFUNCTION("""COMPUTED_VALUE"""),"Manilkara zapota")</f>
        <v>Manilkara zapota</v>
      </c>
      <c r="E908" s="8" t="str">
        <f>IFERROR(__xludf.DUMMYFUNCTION("""COMPUTED_VALUE"""),"Excalibur")</f>
        <v>Excalibur</v>
      </c>
      <c r="F908" s="8" t="str">
        <f>IFERROR(__xludf.DUMMYFUNCTION("""COMPUTED_VALUE"""),"Sapodilla")</f>
        <v>Sapodilla</v>
      </c>
      <c r="G908" s="8" t="str">
        <f>IFERROR(__xludf.DUMMYFUNCTION("""COMPUTED_VALUE"""),"Sapotille")</f>
        <v>Sapotille</v>
      </c>
      <c r="H908" s="8" t="str">
        <f>IFERROR(__xludf.DUMMYFUNCTION("""COMPUTED_VALUE"""),"Sapodilla")</f>
        <v>Sapodilla</v>
      </c>
      <c r="I908" s="8"/>
      <c r="J908" s="8"/>
      <c r="K908" s="8"/>
      <c r="L908" s="8" t="str">
        <f>IFERROR(__xludf.DUMMYFUNCTION("""COMPUTED_VALUE"""),"multiple")</f>
        <v>multiple</v>
      </c>
      <c r="M908" s="8">
        <f>IFERROR(__xludf.DUMMYFUNCTION("""COMPUTED_VALUE"""),0.0)</f>
        <v>0</v>
      </c>
      <c r="N908" s="8">
        <f>IFERROR(__xludf.DUMMYFUNCTION("""COMPUTED_VALUE"""),1.0)</f>
        <v>1</v>
      </c>
      <c r="O908" s="8"/>
      <c r="P908" s="8"/>
      <c r="Q908" s="8"/>
      <c r="R908" s="8"/>
      <c r="S908" s="8"/>
      <c r="T908" s="8"/>
      <c r="U908" s="8"/>
      <c r="V908" s="8"/>
      <c r="W908" s="8"/>
      <c r="X908" s="8"/>
      <c r="Y908" s="8"/>
      <c r="Z908" s="8"/>
    </row>
    <row r="909">
      <c r="A909" s="8">
        <f>IFERROR(__xludf.DUMMYFUNCTION("""COMPUTED_VALUE"""),9067.0)</f>
        <v>9067</v>
      </c>
      <c r="B909" s="8" t="str">
        <f>IFERROR(__xludf.DUMMYFUNCTION("""COMPUTED_VALUE"""),"tree")</f>
        <v>tree</v>
      </c>
      <c r="C909" s="8" t="str">
        <f>IFERROR(__xludf.DUMMYFUNCTION("""COMPUTED_VALUE"""),"graft")</f>
        <v>graft</v>
      </c>
      <c r="D909" s="55" t="str">
        <f>IFERROR(__xludf.DUMMYFUNCTION("""COMPUTED_VALUE"""),"Manilkara zapota")</f>
        <v>Manilkara zapota</v>
      </c>
      <c r="E909" s="8" t="str">
        <f>IFERROR(__xludf.DUMMYFUNCTION("""COMPUTED_VALUE"""),"Excalibur")</f>
        <v>Excalibur</v>
      </c>
      <c r="F909" s="8" t="str">
        <f>IFERROR(__xludf.DUMMYFUNCTION("""COMPUTED_VALUE"""),"Sapodilla")</f>
        <v>Sapodilla</v>
      </c>
      <c r="G909" s="8" t="str">
        <f>IFERROR(__xludf.DUMMYFUNCTION("""COMPUTED_VALUE"""),"Sapotille")</f>
        <v>Sapotille</v>
      </c>
      <c r="H909" s="8" t="str">
        <f>IFERROR(__xludf.DUMMYFUNCTION("""COMPUTED_VALUE"""),"Sapodilla")</f>
        <v>Sapodilla</v>
      </c>
      <c r="I909" s="8"/>
      <c r="J909" s="8"/>
      <c r="K909" s="8"/>
      <c r="L909" s="8" t="str">
        <f>IFERROR(__xludf.DUMMYFUNCTION("""COMPUTED_VALUE"""),"multiple")</f>
        <v>multiple</v>
      </c>
      <c r="M909" s="8">
        <f>IFERROR(__xludf.DUMMYFUNCTION("""COMPUTED_VALUE"""),0.0)</f>
        <v>0</v>
      </c>
      <c r="N909" s="8">
        <f>IFERROR(__xludf.DUMMYFUNCTION("""COMPUTED_VALUE"""),1.0)</f>
        <v>1</v>
      </c>
      <c r="O909" s="8"/>
      <c r="P909" s="8"/>
      <c r="Q909" s="8"/>
      <c r="R909" s="8"/>
      <c r="S909" s="8"/>
      <c r="T909" s="8"/>
      <c r="U909" s="8"/>
      <c r="V909" s="8"/>
      <c r="W909" s="8"/>
      <c r="X909" s="8"/>
      <c r="Y909" s="8"/>
      <c r="Z909" s="8"/>
    </row>
    <row r="910">
      <c r="A910" s="8">
        <f>IFERROR(__xludf.DUMMYFUNCTION("""COMPUTED_VALUE"""),9068.0)</f>
        <v>9068</v>
      </c>
      <c r="B910" s="8" t="str">
        <f>IFERROR(__xludf.DUMMYFUNCTION("""COMPUTED_VALUE"""),"tree")</f>
        <v>tree</v>
      </c>
      <c r="C910" s="8" t="str">
        <f>IFERROR(__xludf.DUMMYFUNCTION("""COMPUTED_VALUE"""),"graft")</f>
        <v>graft</v>
      </c>
      <c r="D910" s="55" t="str">
        <f>IFERROR(__xludf.DUMMYFUNCTION("""COMPUTED_VALUE"""),"Manilkara zapota")</f>
        <v>Manilkara zapota</v>
      </c>
      <c r="E910" s="8" t="str">
        <f>IFERROR(__xludf.DUMMYFUNCTION("""COMPUTED_VALUE"""),"Hasya")</f>
        <v>Hasya</v>
      </c>
      <c r="F910" s="8" t="str">
        <f>IFERROR(__xludf.DUMMYFUNCTION("""COMPUTED_VALUE"""),"Sapodilla")</f>
        <v>Sapodilla</v>
      </c>
      <c r="G910" s="8" t="str">
        <f>IFERROR(__xludf.DUMMYFUNCTION("""COMPUTED_VALUE"""),"Sapotille")</f>
        <v>Sapotille</v>
      </c>
      <c r="H910" s="8" t="str">
        <f>IFERROR(__xludf.DUMMYFUNCTION("""COMPUTED_VALUE"""),"Sapodilla")</f>
        <v>Sapodilla</v>
      </c>
      <c r="I910" s="8"/>
      <c r="J910" s="8"/>
      <c r="K910" s="8"/>
      <c r="L910" s="8" t="str">
        <f>IFERROR(__xludf.DUMMYFUNCTION("""COMPUTED_VALUE"""),"multiple")</f>
        <v>multiple</v>
      </c>
      <c r="M910" s="8">
        <f>IFERROR(__xludf.DUMMYFUNCTION("""COMPUTED_VALUE"""),0.0)</f>
        <v>0</v>
      </c>
      <c r="N910" s="8">
        <f>IFERROR(__xludf.DUMMYFUNCTION("""COMPUTED_VALUE"""),1.0)</f>
        <v>1</v>
      </c>
      <c r="O910" s="8"/>
      <c r="P910" s="8"/>
      <c r="Q910" s="8"/>
      <c r="R910" s="8"/>
      <c r="S910" s="8"/>
      <c r="T910" s="8"/>
      <c r="U910" s="8"/>
      <c r="V910" s="8"/>
      <c r="W910" s="8"/>
      <c r="X910" s="8"/>
      <c r="Y910" s="8"/>
      <c r="Z910" s="8"/>
    </row>
    <row r="911">
      <c r="A911" s="8">
        <f>IFERROR(__xludf.DUMMYFUNCTION("""COMPUTED_VALUE"""),9069.0)</f>
        <v>9069</v>
      </c>
      <c r="B911" s="8" t="str">
        <f>IFERROR(__xludf.DUMMYFUNCTION("""COMPUTED_VALUE"""),"tree")</f>
        <v>tree</v>
      </c>
      <c r="C911" s="8" t="str">
        <f>IFERROR(__xludf.DUMMYFUNCTION("""COMPUTED_VALUE"""),"graft")</f>
        <v>graft</v>
      </c>
      <c r="D911" s="55" t="str">
        <f>IFERROR(__xludf.DUMMYFUNCTION("""COMPUTED_VALUE"""),"Manilkara zapota")</f>
        <v>Manilkara zapota</v>
      </c>
      <c r="E911" s="8" t="str">
        <f>IFERROR(__xludf.DUMMYFUNCTION("""COMPUTED_VALUE"""),"Hasya")</f>
        <v>Hasya</v>
      </c>
      <c r="F911" s="8" t="str">
        <f>IFERROR(__xludf.DUMMYFUNCTION("""COMPUTED_VALUE"""),"Sapodilla")</f>
        <v>Sapodilla</v>
      </c>
      <c r="G911" s="8" t="str">
        <f>IFERROR(__xludf.DUMMYFUNCTION("""COMPUTED_VALUE"""),"Sapotille")</f>
        <v>Sapotille</v>
      </c>
      <c r="H911" s="8" t="str">
        <f>IFERROR(__xludf.DUMMYFUNCTION("""COMPUTED_VALUE"""),"Sapodilla")</f>
        <v>Sapodilla</v>
      </c>
      <c r="I911" s="8"/>
      <c r="J911" s="8"/>
      <c r="K911" s="8"/>
      <c r="L911" s="8" t="str">
        <f>IFERROR(__xludf.DUMMYFUNCTION("""COMPUTED_VALUE"""),"multiple")</f>
        <v>multiple</v>
      </c>
      <c r="M911" s="8">
        <f>IFERROR(__xludf.DUMMYFUNCTION("""COMPUTED_VALUE"""),0.0)</f>
        <v>0</v>
      </c>
      <c r="N911" s="8">
        <f>IFERROR(__xludf.DUMMYFUNCTION("""COMPUTED_VALUE"""),1.0)</f>
        <v>1</v>
      </c>
      <c r="O911" s="8"/>
      <c r="P911" s="8"/>
      <c r="Q911" s="8"/>
      <c r="R911" s="8"/>
      <c r="S911" s="8"/>
      <c r="T911" s="8"/>
      <c r="U911" s="8"/>
      <c r="V911" s="8"/>
      <c r="W911" s="8"/>
      <c r="X911" s="8"/>
      <c r="Y911" s="8"/>
      <c r="Z911" s="8"/>
    </row>
    <row r="912">
      <c r="A912" s="8">
        <f>IFERROR(__xludf.DUMMYFUNCTION("""COMPUTED_VALUE"""),9070.0)</f>
        <v>9070</v>
      </c>
      <c r="B912" s="8" t="str">
        <f>IFERROR(__xludf.DUMMYFUNCTION("""COMPUTED_VALUE"""),"tree")</f>
        <v>tree</v>
      </c>
      <c r="C912" s="8" t="str">
        <f>IFERROR(__xludf.DUMMYFUNCTION("""COMPUTED_VALUE"""),"graft")</f>
        <v>graft</v>
      </c>
      <c r="D912" s="55" t="str">
        <f>IFERROR(__xludf.DUMMYFUNCTION("""COMPUTED_VALUE"""),"Manilkara zapota")</f>
        <v>Manilkara zapota</v>
      </c>
      <c r="E912" s="8" t="str">
        <f>IFERROR(__xludf.DUMMYFUNCTION("""COMPUTED_VALUE"""),"Morena")</f>
        <v>Morena</v>
      </c>
      <c r="F912" s="8" t="str">
        <f>IFERROR(__xludf.DUMMYFUNCTION("""COMPUTED_VALUE"""),"Sapodilla")</f>
        <v>Sapodilla</v>
      </c>
      <c r="G912" s="8" t="str">
        <f>IFERROR(__xludf.DUMMYFUNCTION("""COMPUTED_VALUE"""),"Sapotille")</f>
        <v>Sapotille</v>
      </c>
      <c r="H912" s="8" t="str">
        <f>IFERROR(__xludf.DUMMYFUNCTION("""COMPUTED_VALUE"""),"Sapodilla")</f>
        <v>Sapodilla</v>
      </c>
      <c r="I912" s="8"/>
      <c r="J912" s="8"/>
      <c r="K912" s="8"/>
      <c r="L912" s="8" t="str">
        <f>IFERROR(__xludf.DUMMYFUNCTION("""COMPUTED_VALUE"""),"multiple")</f>
        <v>multiple</v>
      </c>
      <c r="M912" s="8">
        <f>IFERROR(__xludf.DUMMYFUNCTION("""COMPUTED_VALUE"""),0.0)</f>
        <v>0</v>
      </c>
      <c r="N912" s="8">
        <f>IFERROR(__xludf.DUMMYFUNCTION("""COMPUTED_VALUE"""),1.0)</f>
        <v>1</v>
      </c>
      <c r="O912" s="8"/>
      <c r="P912" s="8"/>
      <c r="Q912" s="8"/>
      <c r="R912" s="8"/>
      <c r="S912" s="8"/>
      <c r="T912" s="8"/>
      <c r="U912" s="8"/>
      <c r="V912" s="8"/>
      <c r="W912" s="8"/>
      <c r="X912" s="8"/>
      <c r="Y912" s="8"/>
      <c r="Z912" s="8"/>
    </row>
    <row r="913">
      <c r="A913" s="8">
        <f>IFERROR(__xludf.DUMMYFUNCTION("""COMPUTED_VALUE"""),9071.0)</f>
        <v>9071</v>
      </c>
      <c r="B913" s="8" t="str">
        <f>IFERROR(__xludf.DUMMYFUNCTION("""COMPUTED_VALUE"""),"tree")</f>
        <v>tree</v>
      </c>
      <c r="C913" s="8" t="str">
        <f>IFERROR(__xludf.DUMMYFUNCTION("""COMPUTED_VALUE"""),"graft")</f>
        <v>graft</v>
      </c>
      <c r="D913" s="55" t="str">
        <f>IFERROR(__xludf.DUMMYFUNCTION("""COMPUTED_VALUE"""),"Manilkara zapota")</f>
        <v>Manilkara zapota</v>
      </c>
      <c r="E913" s="8" t="str">
        <f>IFERROR(__xludf.DUMMYFUNCTION("""COMPUTED_VALUE"""),"Morena")</f>
        <v>Morena</v>
      </c>
      <c r="F913" s="8" t="str">
        <f>IFERROR(__xludf.DUMMYFUNCTION("""COMPUTED_VALUE"""),"Sapodilla")</f>
        <v>Sapodilla</v>
      </c>
      <c r="G913" s="8" t="str">
        <f>IFERROR(__xludf.DUMMYFUNCTION("""COMPUTED_VALUE"""),"Sapotille")</f>
        <v>Sapotille</v>
      </c>
      <c r="H913" s="8" t="str">
        <f>IFERROR(__xludf.DUMMYFUNCTION("""COMPUTED_VALUE"""),"Sapodilla")</f>
        <v>Sapodilla</v>
      </c>
      <c r="I913" s="8"/>
      <c r="J913" s="8"/>
      <c r="K913" s="8"/>
      <c r="L913" s="8" t="str">
        <f>IFERROR(__xludf.DUMMYFUNCTION("""COMPUTED_VALUE"""),"multiple")</f>
        <v>multiple</v>
      </c>
      <c r="M913" s="8">
        <f>IFERROR(__xludf.DUMMYFUNCTION("""COMPUTED_VALUE"""),0.0)</f>
        <v>0</v>
      </c>
      <c r="N913" s="8">
        <f>IFERROR(__xludf.DUMMYFUNCTION("""COMPUTED_VALUE"""),1.0)</f>
        <v>1</v>
      </c>
      <c r="O913" s="8"/>
      <c r="P913" s="8"/>
      <c r="Q913" s="8"/>
      <c r="R913" s="8"/>
      <c r="S913" s="8"/>
      <c r="T913" s="8"/>
      <c r="U913" s="8"/>
      <c r="V913" s="8"/>
      <c r="W913" s="8"/>
      <c r="X913" s="8"/>
      <c r="Y913" s="8"/>
      <c r="Z913" s="8"/>
    </row>
    <row r="914">
      <c r="A914" s="8">
        <f>IFERROR(__xludf.DUMMYFUNCTION("""COMPUTED_VALUE"""),9072.0)</f>
        <v>9072</v>
      </c>
      <c r="B914" s="8" t="str">
        <f>IFERROR(__xludf.DUMMYFUNCTION("""COMPUTED_VALUE"""),"tree")</f>
        <v>tree</v>
      </c>
      <c r="C914" s="8" t="str">
        <f>IFERROR(__xludf.DUMMYFUNCTION("""COMPUTED_VALUE"""),"graft")</f>
        <v>graft</v>
      </c>
      <c r="D914" s="55" t="str">
        <f>IFERROR(__xludf.DUMMYFUNCTION("""COMPUTED_VALUE"""),"Manilkara zapota")</f>
        <v>Manilkara zapota</v>
      </c>
      <c r="E914" s="8" t="str">
        <f>IFERROR(__xludf.DUMMYFUNCTION("""COMPUTED_VALUE"""),"Variegated")</f>
        <v>Variegated</v>
      </c>
      <c r="F914" s="8" t="str">
        <f>IFERROR(__xludf.DUMMYFUNCTION("""COMPUTED_VALUE"""),"Sapodilla")</f>
        <v>Sapodilla</v>
      </c>
      <c r="G914" s="8" t="str">
        <f>IFERROR(__xludf.DUMMYFUNCTION("""COMPUTED_VALUE"""),"Sapotille")</f>
        <v>Sapotille</v>
      </c>
      <c r="H914" s="8" t="str">
        <f>IFERROR(__xludf.DUMMYFUNCTION("""COMPUTED_VALUE"""),"Sapodilla")</f>
        <v>Sapodilla</v>
      </c>
      <c r="I914" s="8"/>
      <c r="J914" s="8"/>
      <c r="K914" s="8"/>
      <c r="L914" s="8" t="str">
        <f>IFERROR(__xludf.DUMMYFUNCTION("""COMPUTED_VALUE"""),"multiple")</f>
        <v>multiple</v>
      </c>
      <c r="M914" s="8">
        <f>IFERROR(__xludf.DUMMYFUNCTION("""COMPUTED_VALUE"""),0.0)</f>
        <v>0</v>
      </c>
      <c r="N914" s="8">
        <f>IFERROR(__xludf.DUMMYFUNCTION("""COMPUTED_VALUE"""),0.0)</f>
        <v>0</v>
      </c>
      <c r="O914" s="8"/>
      <c r="P914" s="8"/>
      <c r="Q914" s="8"/>
      <c r="R914" s="8"/>
      <c r="S914" s="8"/>
      <c r="T914" s="8"/>
      <c r="U914" s="8"/>
      <c r="V914" s="8"/>
      <c r="W914" s="8"/>
      <c r="X914" s="8"/>
      <c r="Y914" s="8"/>
      <c r="Z914" s="8"/>
    </row>
    <row r="915">
      <c r="A915" s="8">
        <f>IFERROR(__xludf.DUMMYFUNCTION("""COMPUTED_VALUE"""),9074.0)</f>
        <v>9074</v>
      </c>
      <c r="B915" s="8" t="str">
        <f>IFERROR(__xludf.DUMMYFUNCTION("""COMPUTED_VALUE"""),"perennial")</f>
        <v>perennial</v>
      </c>
      <c r="C915" s="8" t="str">
        <f>IFERROR(__xludf.DUMMYFUNCTION("""COMPUTED_VALUE"""),"graft")</f>
        <v>graft</v>
      </c>
      <c r="D915" s="55" t="str">
        <f>IFERROR(__xludf.DUMMYFUNCTION("""COMPUTED_VALUE"""),"Eugenia uniflora")</f>
        <v>Eugenia uniflora</v>
      </c>
      <c r="E915" s="8" t="str">
        <f>IFERROR(__xludf.DUMMYFUNCTION("""COMPUTED_VALUE"""),"Black")</f>
        <v>Black</v>
      </c>
      <c r="F915" s="8" t="str">
        <f>IFERROR(__xludf.DUMMYFUNCTION("""COMPUTED_VALUE"""),"Surinam Cherry")</f>
        <v>Surinam Cherry</v>
      </c>
      <c r="G915" s="8" t="str">
        <f>IFERROR(__xludf.DUMMYFUNCTION("""COMPUTED_VALUE"""),"Cerise du Suriname")</f>
        <v>Cerise du Suriname</v>
      </c>
      <c r="H915" s="8" t="str">
        <f>IFERROR(__xludf.DUMMYFUNCTION("""COMPUTED_VALUE"""),"Surinam Cherry")</f>
        <v>Surinam Cherry</v>
      </c>
      <c r="I915" s="8"/>
      <c r="J915" s="8"/>
      <c r="K915" s="8"/>
      <c r="L915" s="8">
        <f>IFERROR(__xludf.DUMMYFUNCTION("""COMPUTED_VALUE"""),1.0)</f>
        <v>1</v>
      </c>
      <c r="M915" s="8">
        <f>IFERROR(__xludf.DUMMYFUNCTION("""COMPUTED_VALUE"""),0.0)</f>
        <v>0</v>
      </c>
      <c r="N915" s="8">
        <f>IFERROR(__xludf.DUMMYFUNCTION("""COMPUTED_VALUE"""),1.0)</f>
        <v>1</v>
      </c>
      <c r="O915" s="8"/>
      <c r="P915" s="8"/>
      <c r="Q915" s="8"/>
      <c r="R915" s="8"/>
      <c r="S915" s="8"/>
      <c r="T915" s="8"/>
      <c r="U915" s="8"/>
      <c r="V915" s="8"/>
      <c r="W915" s="8"/>
      <c r="X915" s="8"/>
      <c r="Y915" s="8"/>
      <c r="Z915" s="8"/>
    </row>
    <row r="916">
      <c r="A916" s="8">
        <f>IFERROR(__xludf.DUMMYFUNCTION("""COMPUTED_VALUE"""),9075.0)</f>
        <v>9075</v>
      </c>
      <c r="B916" s="8" t="str">
        <f>IFERROR(__xludf.DUMMYFUNCTION("""COMPUTED_VALUE"""),"perennial")</f>
        <v>perennial</v>
      </c>
      <c r="C916" s="8" t="str">
        <f>IFERROR(__xludf.DUMMYFUNCTION("""COMPUTED_VALUE"""),"graft")</f>
        <v>graft</v>
      </c>
      <c r="D916" s="55" t="str">
        <f>IFERROR(__xludf.DUMMYFUNCTION("""COMPUTED_VALUE"""),"Eugenia uniflora")</f>
        <v>Eugenia uniflora</v>
      </c>
      <c r="E916" s="8" t="str">
        <f>IFERROR(__xludf.DUMMYFUNCTION("""COMPUTED_VALUE"""),"Black")</f>
        <v>Black</v>
      </c>
      <c r="F916" s="8" t="str">
        <f>IFERROR(__xludf.DUMMYFUNCTION("""COMPUTED_VALUE"""),"Surinam Cherry")</f>
        <v>Surinam Cherry</v>
      </c>
      <c r="G916" s="8" t="str">
        <f>IFERROR(__xludf.DUMMYFUNCTION("""COMPUTED_VALUE"""),"Cerise du Suriname")</f>
        <v>Cerise du Suriname</v>
      </c>
      <c r="H916" s="8" t="str">
        <f>IFERROR(__xludf.DUMMYFUNCTION("""COMPUTED_VALUE"""),"air_layer")</f>
        <v>air_layer</v>
      </c>
      <c r="I916" s="8"/>
      <c r="J916" s="8"/>
      <c r="K916" s="8"/>
      <c r="L916" s="8">
        <f>IFERROR(__xludf.DUMMYFUNCTION("""COMPUTED_VALUE"""),1.0)</f>
        <v>1</v>
      </c>
      <c r="M916" s="8">
        <f>IFERROR(__xludf.DUMMYFUNCTION("""COMPUTED_VALUE"""),0.0)</f>
        <v>0</v>
      </c>
      <c r="N916" s="8">
        <f>IFERROR(__xludf.DUMMYFUNCTION("""COMPUTED_VALUE"""),1.0)</f>
        <v>1</v>
      </c>
      <c r="O916" s="8"/>
      <c r="P916" s="8"/>
      <c r="Q916" s="8"/>
      <c r="R916" s="8"/>
      <c r="S916" s="8"/>
      <c r="T916" s="8"/>
      <c r="U916" s="8"/>
      <c r="V916" s="8"/>
      <c r="W916" s="8"/>
      <c r="X916" s="8"/>
      <c r="Y916" s="8"/>
      <c r="Z916" s="8"/>
    </row>
    <row r="917">
      <c r="A917" s="8">
        <f>IFERROR(__xludf.DUMMYFUNCTION("""COMPUTED_VALUE"""),1278.0)</f>
        <v>1278</v>
      </c>
      <c r="B917" s="8" t="str">
        <f>IFERROR(__xludf.DUMMYFUNCTION("""COMPUTED_VALUE"""),"tree")</f>
        <v>tree</v>
      </c>
      <c r="C917" s="8" t="str">
        <f>IFERROR(__xludf.DUMMYFUNCTION("""COMPUTED_VALUE"""),"graft")</f>
        <v>graft</v>
      </c>
      <c r="D917" s="55" t="str">
        <f>IFERROR(__xludf.DUMMYFUNCTION("""COMPUTED_VALUE"""),"Persea americana")</f>
        <v>Persea americana</v>
      </c>
      <c r="E917" s="8" t="str">
        <f>IFERROR(__xludf.DUMMYFUNCTION("""COMPUTED_VALUE"""),"Bernecker")</f>
        <v>Bernecker</v>
      </c>
      <c r="F917" s="8" t="str">
        <f>IFERROR(__xludf.DUMMYFUNCTION("""COMPUTED_VALUE"""),"Avocado")</f>
        <v>Avocado</v>
      </c>
      <c r="G917" s="8" t="str">
        <f>IFERROR(__xludf.DUMMYFUNCTION("""COMPUTED_VALUE"""),"Avocat")</f>
        <v>Avocat</v>
      </c>
      <c r="H917" s="8" t="str">
        <f>IFERROR(__xludf.DUMMYFUNCTION("""COMPUTED_VALUE"""),"Avocado")</f>
        <v>Avocado</v>
      </c>
      <c r="I917" s="8" t="str">
        <f>IFERROR(__xludf.DUMMYFUNCTION("""COMPUTED_VALUE"""),"040")</f>
        <v>040</v>
      </c>
      <c r="J917" s="8"/>
      <c r="K917" s="8">
        <f>IFERROR(__xludf.DUMMYFUNCTION("""COMPUTED_VALUE"""),9080.0)</f>
        <v>9080</v>
      </c>
      <c r="L917" s="8">
        <f>IFERROR(__xludf.DUMMYFUNCTION("""COMPUTED_VALUE"""),1.0)</f>
        <v>1</v>
      </c>
      <c r="M917" s="8">
        <f>IFERROR(__xludf.DUMMYFUNCTION("""COMPUTED_VALUE"""),2.0)</f>
        <v>2</v>
      </c>
      <c r="N917" s="8">
        <f>IFERROR(__xludf.DUMMYFUNCTION("""COMPUTED_VALUE"""),3.0)</f>
        <v>3</v>
      </c>
      <c r="O917" s="8"/>
      <c r="P917" s="8"/>
      <c r="Q917" s="8"/>
      <c r="R917" s="8"/>
      <c r="S917" s="8"/>
      <c r="T917" s="8"/>
      <c r="U917" s="8"/>
      <c r="V917" s="8"/>
      <c r="W917" s="8"/>
      <c r="X917" s="8"/>
      <c r="Y917" s="8"/>
      <c r="Z917" s="8"/>
    </row>
    <row r="918">
      <c r="A918" s="8">
        <f>IFERROR(__xludf.DUMMYFUNCTION("""COMPUTED_VALUE"""),9081.0)</f>
        <v>9081</v>
      </c>
      <c r="B918" s="8" t="str">
        <f>IFERROR(__xludf.DUMMYFUNCTION("""COMPUTED_VALUE"""),"tree")</f>
        <v>tree</v>
      </c>
      <c r="C918" s="8" t="str">
        <f>IFERROR(__xludf.DUMMYFUNCTION("""COMPUTED_VALUE"""),"graft")</f>
        <v>graft</v>
      </c>
      <c r="D918" s="55" t="str">
        <f>IFERROR(__xludf.DUMMYFUNCTION("""COMPUTED_VALUE"""),"Persea americana")</f>
        <v>Persea americana</v>
      </c>
      <c r="E918" s="8" t="str">
        <f>IFERROR(__xludf.DUMMYFUNCTION("""COMPUTED_VALUE"""),"Bernecker")</f>
        <v>Bernecker</v>
      </c>
      <c r="F918" s="8" t="str">
        <f>IFERROR(__xludf.DUMMYFUNCTION("""COMPUTED_VALUE"""),"Avocado")</f>
        <v>Avocado</v>
      </c>
      <c r="G918" s="8" t="str">
        <f>IFERROR(__xludf.DUMMYFUNCTION("""COMPUTED_VALUE"""),"Avocat")</f>
        <v>Avocat</v>
      </c>
      <c r="H918" s="8" t="str">
        <f>IFERROR(__xludf.DUMMYFUNCTION("""COMPUTED_VALUE"""),"Avocado")</f>
        <v>Avocado</v>
      </c>
      <c r="I918" s="8"/>
      <c r="J918" s="8"/>
      <c r="K918" s="8"/>
      <c r="L918" s="8">
        <f>IFERROR(__xludf.DUMMYFUNCTION("""COMPUTED_VALUE"""),1.0)</f>
        <v>1</v>
      </c>
      <c r="M918" s="8">
        <f>IFERROR(__xludf.DUMMYFUNCTION("""COMPUTED_VALUE"""),2.0)</f>
        <v>2</v>
      </c>
      <c r="N918" s="8">
        <f>IFERROR(__xludf.DUMMYFUNCTION("""COMPUTED_VALUE"""),3.0)</f>
        <v>3</v>
      </c>
      <c r="O918" s="8"/>
      <c r="P918" s="8"/>
      <c r="Q918" s="8"/>
      <c r="R918" s="8"/>
      <c r="S918" s="8"/>
      <c r="T918" s="8"/>
      <c r="U918" s="8"/>
      <c r="V918" s="8"/>
      <c r="W918" s="8"/>
      <c r="X918" s="8"/>
      <c r="Y918" s="8"/>
      <c r="Z918" s="8"/>
    </row>
    <row r="919">
      <c r="A919" s="8">
        <f>IFERROR(__xludf.DUMMYFUNCTION("""COMPUTED_VALUE"""),9083.0)</f>
        <v>9083</v>
      </c>
      <c r="B919" s="8" t="str">
        <f>IFERROR(__xludf.DUMMYFUNCTION("""COMPUTED_VALUE"""),"tree")</f>
        <v>tree</v>
      </c>
      <c r="C919" s="8" t="str">
        <f>IFERROR(__xludf.DUMMYFUNCTION("""COMPUTED_VALUE"""),"graft")</f>
        <v>graft</v>
      </c>
      <c r="D919" s="55" t="str">
        <f>IFERROR(__xludf.DUMMYFUNCTION("""COMPUTED_VALUE"""),"Persea americana")</f>
        <v>Persea americana</v>
      </c>
      <c r="E919" s="55" t="str">
        <f>IFERROR(__xludf.DUMMYFUNCTION("""COMPUTED_VALUE"""),"Lara #1")</f>
        <v>Lara #1</v>
      </c>
      <c r="F919" s="8" t="str">
        <f>IFERROR(__xludf.DUMMYFUNCTION("""COMPUTED_VALUE"""),"Avocado")</f>
        <v>Avocado</v>
      </c>
      <c r="G919" s="8" t="str">
        <f>IFERROR(__xludf.DUMMYFUNCTION("""COMPUTED_VALUE"""),"Avocat")</f>
        <v>Avocat</v>
      </c>
      <c r="H919" s="8" t="str">
        <f>IFERROR(__xludf.DUMMYFUNCTION("""COMPUTED_VALUE"""),"Avocado")</f>
        <v>Avocado</v>
      </c>
      <c r="I919" s="8"/>
      <c r="J919" s="8"/>
      <c r="K919" s="8"/>
      <c r="L919" s="8">
        <f>IFERROR(__xludf.DUMMYFUNCTION("""COMPUTED_VALUE"""),1.0)</f>
        <v>1</v>
      </c>
      <c r="M919" s="8">
        <f>IFERROR(__xludf.DUMMYFUNCTION("""COMPUTED_VALUE"""),0.0)</f>
        <v>0</v>
      </c>
      <c r="N919" s="8">
        <f>IFERROR(__xludf.DUMMYFUNCTION("""COMPUTED_VALUE"""),0.0)</f>
        <v>0</v>
      </c>
      <c r="O919" s="8"/>
      <c r="P919" s="8"/>
      <c r="Q919" s="8"/>
      <c r="R919" s="8"/>
      <c r="S919" s="8"/>
      <c r="T919" s="8"/>
      <c r="U919" s="8"/>
      <c r="V919" s="8"/>
      <c r="W919" s="8"/>
      <c r="X919" s="8"/>
      <c r="Y919" s="8"/>
      <c r="Z919" s="8"/>
    </row>
    <row r="920">
      <c r="A920" s="8">
        <f>IFERROR(__xludf.DUMMYFUNCTION("""COMPUTED_VALUE"""),9084.0)</f>
        <v>9084</v>
      </c>
      <c r="B920" s="8" t="str">
        <f>IFERROR(__xludf.DUMMYFUNCTION("""COMPUTED_VALUE"""),"tree")</f>
        <v>tree</v>
      </c>
      <c r="C920" s="8" t="str">
        <f>IFERROR(__xludf.DUMMYFUNCTION("""COMPUTED_VALUE"""),"graft")</f>
        <v>graft</v>
      </c>
      <c r="D920" s="55" t="str">
        <f>IFERROR(__xludf.DUMMYFUNCTION("""COMPUTED_VALUE"""),"Pouteria sapota")</f>
        <v>Pouteria sapota</v>
      </c>
      <c r="E920" s="8" t="str">
        <f>IFERROR(__xludf.DUMMYFUNCTION("""COMPUTED_VALUE"""),"Pozo Azul")</f>
        <v>Pozo Azul</v>
      </c>
      <c r="F920" s="8" t="str">
        <f>IFERROR(__xludf.DUMMYFUNCTION("""COMPUTED_VALUE"""),"Mamey Sapote")</f>
        <v>Mamey Sapote</v>
      </c>
      <c r="G920" s="8" t="str">
        <f>IFERROR(__xludf.DUMMYFUNCTION("""COMPUTED_VALUE"""),"Sapote Mamey")</f>
        <v>Sapote Mamey</v>
      </c>
      <c r="H920" s="8" t="str">
        <f>IFERROR(__xludf.DUMMYFUNCTION("""COMPUTED_VALUE"""),"Mamey Sapote")</f>
        <v>Mamey Sapote</v>
      </c>
      <c r="I920" s="8"/>
      <c r="J920" s="8"/>
      <c r="K920" s="8"/>
      <c r="L920" s="8" t="str">
        <f>IFERROR(__xludf.DUMMYFUNCTION("""COMPUTED_VALUE"""),"multiple")</f>
        <v>multiple</v>
      </c>
      <c r="M920" s="8">
        <f>IFERROR(__xludf.DUMMYFUNCTION("""COMPUTED_VALUE"""),0.0)</f>
        <v>0</v>
      </c>
      <c r="N920" s="8">
        <f>IFERROR(__xludf.DUMMYFUNCTION("""COMPUTED_VALUE"""),1.0)</f>
        <v>1</v>
      </c>
      <c r="O920" s="8"/>
      <c r="P920" s="8"/>
      <c r="Q920" s="8"/>
      <c r="R920" s="8"/>
      <c r="S920" s="8"/>
      <c r="T920" s="8"/>
      <c r="U920" s="8"/>
      <c r="V920" s="8"/>
      <c r="W920" s="8"/>
      <c r="X920" s="8"/>
      <c r="Y920" s="8"/>
      <c r="Z920" s="8"/>
    </row>
    <row r="921">
      <c r="A921" s="8">
        <f>IFERROR(__xludf.DUMMYFUNCTION("""COMPUTED_VALUE"""),9085.0)</f>
        <v>9085</v>
      </c>
      <c r="B921" s="8" t="str">
        <f>IFERROR(__xludf.DUMMYFUNCTION("""COMPUTED_VALUE"""),"tree")</f>
        <v>tree</v>
      </c>
      <c r="C921" s="8" t="str">
        <f>IFERROR(__xludf.DUMMYFUNCTION("""COMPUTED_VALUE"""),"graft")</f>
        <v>graft</v>
      </c>
      <c r="D921" s="55" t="str">
        <f>IFERROR(__xludf.DUMMYFUNCTION("""COMPUTED_VALUE"""),"Artocarpus heterophyllus")</f>
        <v>Artocarpus heterophyllus</v>
      </c>
      <c r="E921" s="8" t="str">
        <f>IFERROR(__xludf.DUMMYFUNCTION("""COMPUTED_VALUE"""),"Black Gold")</f>
        <v>Black Gold</v>
      </c>
      <c r="F921" s="8" t="str">
        <f>IFERROR(__xludf.DUMMYFUNCTION("""COMPUTED_VALUE"""),"Jackfruit")</f>
        <v>Jackfruit</v>
      </c>
      <c r="G921" s="8" t="str">
        <f>IFERROR(__xludf.DUMMYFUNCTION("""COMPUTED_VALUE"""),"Jacquier")</f>
        <v>Jacquier</v>
      </c>
      <c r="H921" s="8" t="str">
        <f>IFERROR(__xludf.DUMMYFUNCTION("""COMPUTED_VALUE"""),"Jackfruit")</f>
        <v>Jackfruit</v>
      </c>
      <c r="I921" s="8"/>
      <c r="J921" s="8"/>
      <c r="K921" s="8"/>
      <c r="L921" s="8" t="str">
        <f>IFERROR(__xludf.DUMMYFUNCTION("""COMPUTED_VALUE"""),"multiple")</f>
        <v>multiple</v>
      </c>
      <c r="M921" s="8">
        <f>IFERROR(__xludf.DUMMYFUNCTION("""COMPUTED_VALUE"""),1.0)</f>
        <v>1</v>
      </c>
      <c r="N921" s="8">
        <f>IFERROR(__xludf.DUMMYFUNCTION("""COMPUTED_VALUE"""),1.0)</f>
        <v>1</v>
      </c>
      <c r="O921" s="8"/>
      <c r="P921" s="8"/>
      <c r="Q921" s="8"/>
      <c r="R921" s="8"/>
      <c r="S921" s="8"/>
      <c r="T921" s="8"/>
      <c r="U921" s="8"/>
      <c r="V921" s="8"/>
      <c r="W921" s="8"/>
      <c r="X921" s="8"/>
      <c r="Y921" s="8"/>
      <c r="Z921" s="8"/>
    </row>
    <row r="922">
      <c r="A922" s="8">
        <f>IFERROR(__xludf.DUMMYFUNCTION("""COMPUTED_VALUE"""),9086.0)</f>
        <v>9086</v>
      </c>
      <c r="B922" s="8" t="str">
        <f>IFERROR(__xludf.DUMMYFUNCTION("""COMPUTED_VALUE"""),"tree")</f>
        <v>tree</v>
      </c>
      <c r="C922" s="8" t="str">
        <f>IFERROR(__xludf.DUMMYFUNCTION("""COMPUTED_VALUE"""),"graft")</f>
        <v>graft</v>
      </c>
      <c r="D922" s="55" t="str">
        <f>IFERROR(__xludf.DUMMYFUNCTION("""COMPUTED_VALUE"""),"Artocarpus heterophyllus")</f>
        <v>Artocarpus heterophyllus</v>
      </c>
      <c r="E922" s="8" t="str">
        <f>IFERROR(__xludf.DUMMYFUNCTION("""COMPUTED_VALUE"""),"Cochin")</f>
        <v>Cochin</v>
      </c>
      <c r="F922" s="8" t="str">
        <f>IFERROR(__xludf.DUMMYFUNCTION("""COMPUTED_VALUE"""),"Jackfruit")</f>
        <v>Jackfruit</v>
      </c>
      <c r="G922" s="8" t="str">
        <f>IFERROR(__xludf.DUMMYFUNCTION("""COMPUTED_VALUE"""),"Jacquier")</f>
        <v>Jacquier</v>
      </c>
      <c r="H922" s="8" t="str">
        <f>IFERROR(__xludf.DUMMYFUNCTION("""COMPUTED_VALUE"""),"Jackfruit")</f>
        <v>Jackfruit</v>
      </c>
      <c r="I922" s="8"/>
      <c r="J922" s="8"/>
      <c r="K922" s="8"/>
      <c r="L922" s="8" t="str">
        <f>IFERROR(__xludf.DUMMYFUNCTION("""COMPUTED_VALUE"""),"multiple")</f>
        <v>multiple</v>
      </c>
      <c r="M922" s="8">
        <f>IFERROR(__xludf.DUMMYFUNCTION("""COMPUTED_VALUE"""),0.0)</f>
        <v>0</v>
      </c>
      <c r="N922" s="8">
        <f>IFERROR(__xludf.DUMMYFUNCTION("""COMPUTED_VALUE"""),0.0)</f>
        <v>0</v>
      </c>
      <c r="O922" s="8"/>
      <c r="P922" s="8"/>
      <c r="Q922" s="8"/>
      <c r="R922" s="8"/>
      <c r="S922" s="8"/>
      <c r="T922" s="8"/>
      <c r="U922" s="8"/>
      <c r="V922" s="8"/>
      <c r="W922" s="8"/>
      <c r="X922" s="8"/>
      <c r="Y922" s="8"/>
      <c r="Z922" s="8"/>
    </row>
    <row r="923">
      <c r="A923" s="8">
        <f>IFERROR(__xludf.DUMMYFUNCTION("""COMPUTED_VALUE"""),9087.0)</f>
        <v>9087</v>
      </c>
      <c r="B923" s="8" t="str">
        <f>IFERROR(__xludf.DUMMYFUNCTION("""COMPUTED_VALUE"""),"tree")</f>
        <v>tree</v>
      </c>
      <c r="C923" s="8" t="str">
        <f>IFERROR(__xludf.DUMMYFUNCTION("""COMPUTED_VALUE"""),"graft")</f>
        <v>graft</v>
      </c>
      <c r="D923" s="55" t="str">
        <f>IFERROR(__xludf.DUMMYFUNCTION("""COMPUTED_VALUE"""),"Artocarpus heterophyllus")</f>
        <v>Artocarpus heterophyllus</v>
      </c>
      <c r="E923" s="8" t="str">
        <f>IFERROR(__xludf.DUMMYFUNCTION("""COMPUTED_VALUE"""),"J31")</f>
        <v>J31</v>
      </c>
      <c r="F923" s="8" t="str">
        <f>IFERROR(__xludf.DUMMYFUNCTION("""COMPUTED_VALUE"""),"Jackfruit")</f>
        <v>Jackfruit</v>
      </c>
      <c r="G923" s="8" t="str">
        <f>IFERROR(__xludf.DUMMYFUNCTION("""COMPUTED_VALUE"""),"Jacquier")</f>
        <v>Jacquier</v>
      </c>
      <c r="H923" s="8" t="str">
        <f>IFERROR(__xludf.DUMMYFUNCTION("""COMPUTED_VALUE"""),"Jackfruit")</f>
        <v>Jackfruit</v>
      </c>
      <c r="I923" s="8"/>
      <c r="J923" s="8"/>
      <c r="K923" s="8"/>
      <c r="L923" s="8" t="str">
        <f>IFERROR(__xludf.DUMMYFUNCTION("""COMPUTED_VALUE"""),"multiple")</f>
        <v>multiple</v>
      </c>
      <c r="M923" s="8">
        <f>IFERROR(__xludf.DUMMYFUNCTION("""COMPUTED_VALUE"""),1.0)</f>
        <v>1</v>
      </c>
      <c r="N923" s="8">
        <f>IFERROR(__xludf.DUMMYFUNCTION("""COMPUTED_VALUE"""),1.0)</f>
        <v>1</v>
      </c>
      <c r="O923" s="8"/>
      <c r="P923" s="8"/>
      <c r="Q923" s="8"/>
      <c r="R923" s="8"/>
      <c r="S923" s="8"/>
      <c r="T923" s="8"/>
      <c r="U923" s="8"/>
      <c r="V923" s="8"/>
      <c r="W923" s="8"/>
      <c r="X923" s="8"/>
      <c r="Y923" s="8"/>
      <c r="Z923" s="8"/>
    </row>
    <row r="924">
      <c r="A924" s="8">
        <f>IFERROR(__xludf.DUMMYFUNCTION("""COMPUTED_VALUE"""),9089.0)</f>
        <v>9089</v>
      </c>
      <c r="B924" s="8" t="str">
        <f>IFERROR(__xludf.DUMMYFUNCTION("""COMPUTED_VALUE"""),"tree")</f>
        <v>tree</v>
      </c>
      <c r="C924" s="8" t="str">
        <f>IFERROR(__xludf.DUMMYFUNCTION("""COMPUTED_VALUE"""),"graft")</f>
        <v>graft</v>
      </c>
      <c r="D924" s="55" t="str">
        <f>IFERROR(__xludf.DUMMYFUNCTION("""COMPUTED_VALUE"""),"Diospyros kaki")</f>
        <v>Diospyros kaki</v>
      </c>
      <c r="E924" s="8" t="str">
        <f>IFERROR(__xludf.DUMMYFUNCTION("""COMPUTED_VALUE"""),"Triumph")</f>
        <v>Triumph</v>
      </c>
      <c r="F924" s="8" t="str">
        <f>IFERROR(__xludf.DUMMYFUNCTION("""COMPUTED_VALUE"""),"Asian Persimmon")</f>
        <v>Asian Persimmon</v>
      </c>
      <c r="G924" s="8" t="str">
        <f>IFERROR(__xludf.DUMMYFUNCTION("""COMPUTED_VALUE"""),"Kaki asiatique")</f>
        <v>Kaki asiatique</v>
      </c>
      <c r="H924" s="8" t="str">
        <f>IFERROR(__xludf.DUMMYFUNCTION("""COMPUTED_VALUE"""),"Asian Persimmon")</f>
        <v>Asian Persimmon</v>
      </c>
      <c r="I924" s="8"/>
      <c r="J924" s="8"/>
      <c r="K924" s="8"/>
      <c r="L924" s="8"/>
      <c r="M924" s="8">
        <f>IFERROR(__xludf.DUMMYFUNCTION("""COMPUTED_VALUE"""),2.0)</f>
        <v>2</v>
      </c>
      <c r="N924" s="8">
        <f>IFERROR(__xludf.DUMMYFUNCTION("""COMPUTED_VALUE"""),2.0)</f>
        <v>2</v>
      </c>
      <c r="O924" s="8"/>
      <c r="P924" s="8"/>
      <c r="Q924" s="8"/>
      <c r="R924" s="8"/>
      <c r="S924" s="8"/>
      <c r="T924" s="8"/>
      <c r="U924" s="8"/>
      <c r="V924" s="8"/>
      <c r="W924" s="8"/>
      <c r="X924" s="8"/>
      <c r="Y924" s="8"/>
      <c r="Z924" s="8"/>
    </row>
    <row r="925">
      <c r="A925" s="8">
        <f>IFERROR(__xludf.DUMMYFUNCTION("""COMPUTED_VALUE"""),9092.0)</f>
        <v>9092</v>
      </c>
      <c r="B925" s="8" t="str">
        <f>IFERROR(__xludf.DUMMYFUNCTION("""COMPUTED_VALUE"""),"tree")</f>
        <v>tree</v>
      </c>
      <c r="C925" s="8" t="str">
        <f>IFERROR(__xludf.DUMMYFUNCTION("""COMPUTED_VALUE"""),"graft")</f>
        <v>graft</v>
      </c>
      <c r="D925" s="55" t="str">
        <f>IFERROR(__xludf.DUMMYFUNCTION("""COMPUTED_VALUE"""),"Pouteria hypoglauca")</f>
        <v>Pouteria hypoglauca</v>
      </c>
      <c r="E925" s="8" t="str">
        <f>IFERROR(__xludf.DUMMYFUNCTION("""COMPUTED_VALUE"""),"Seedling")</f>
        <v>Seedling</v>
      </c>
      <c r="F925" s="8" t="str">
        <f>IFERROR(__xludf.DUMMYFUNCTION("""COMPUTED_VALUE"""),"Cinnamon Apple")</f>
        <v>Cinnamon Apple</v>
      </c>
      <c r="G925" s="8" t="str">
        <f>IFERROR(__xludf.DUMMYFUNCTION("""COMPUTED_VALUE"""),"Pomme à la cannelle")</f>
        <v>Pomme à la cannelle</v>
      </c>
      <c r="H925" s="8" t="str">
        <f>IFERROR(__xludf.DUMMYFUNCTION("""COMPUTED_VALUE"""),"Cinnamon Apple")</f>
        <v>Cinnamon Apple</v>
      </c>
      <c r="I925" s="8"/>
      <c r="J925" s="8"/>
      <c r="K925" s="8"/>
      <c r="L925" s="8" t="str">
        <f>IFERROR(__xludf.DUMMYFUNCTION("""COMPUTED_VALUE"""),"multiple")</f>
        <v>multiple</v>
      </c>
      <c r="M925" s="8">
        <f>IFERROR(__xludf.DUMMYFUNCTION("""COMPUTED_VALUE"""),1.0)</f>
        <v>1</v>
      </c>
      <c r="N925" s="8">
        <f>IFERROR(__xludf.DUMMYFUNCTION("""COMPUTED_VALUE"""),7.0)</f>
        <v>7</v>
      </c>
      <c r="O925" s="8"/>
      <c r="P925" s="8"/>
      <c r="Q925" s="8"/>
      <c r="R925" s="8"/>
      <c r="S925" s="8"/>
      <c r="T925" s="8"/>
      <c r="U925" s="8"/>
      <c r="V925" s="8"/>
      <c r="W925" s="8"/>
      <c r="X925" s="8"/>
      <c r="Y925" s="8"/>
      <c r="Z925" s="8"/>
    </row>
    <row r="926">
      <c r="A926" s="8">
        <f>IFERROR(__xludf.DUMMYFUNCTION("""COMPUTED_VALUE"""),9093.0)</f>
        <v>9093</v>
      </c>
      <c r="B926" s="8" t="str">
        <f>IFERROR(__xludf.DUMMYFUNCTION("""COMPUTED_VALUE"""),"tree")</f>
        <v>tree</v>
      </c>
      <c r="C926" s="8" t="str">
        <f>IFERROR(__xludf.DUMMYFUNCTION("""COMPUTED_VALUE"""),"graft")</f>
        <v>graft</v>
      </c>
      <c r="D926" s="55" t="str">
        <f>IFERROR(__xludf.DUMMYFUNCTION("""COMPUTED_VALUE"""),"Pouteria hypoglauca")</f>
        <v>Pouteria hypoglauca</v>
      </c>
      <c r="E926" s="8" t="str">
        <f>IFERROR(__xludf.DUMMYFUNCTION("""COMPUTED_VALUE"""),"Seedling")</f>
        <v>Seedling</v>
      </c>
      <c r="F926" s="8" t="str">
        <f>IFERROR(__xludf.DUMMYFUNCTION("""COMPUTED_VALUE"""),"Cinnamon Apple")</f>
        <v>Cinnamon Apple</v>
      </c>
      <c r="G926" s="8" t="str">
        <f>IFERROR(__xludf.DUMMYFUNCTION("""COMPUTED_VALUE"""),"Pomme à la cannelle")</f>
        <v>Pomme à la cannelle</v>
      </c>
      <c r="H926" s="8" t="str">
        <f>IFERROR(__xludf.DUMMYFUNCTION("""COMPUTED_VALUE"""),"Cinnamon Apple")</f>
        <v>Cinnamon Apple</v>
      </c>
      <c r="I926" s="8"/>
      <c r="J926" s="8"/>
      <c r="K926" s="8"/>
      <c r="L926" s="8" t="str">
        <f>IFERROR(__xludf.DUMMYFUNCTION("""COMPUTED_VALUE"""),"multiple")</f>
        <v>multiple</v>
      </c>
      <c r="M926" s="8">
        <f>IFERROR(__xludf.DUMMYFUNCTION("""COMPUTED_VALUE"""),1.0)</f>
        <v>1</v>
      </c>
      <c r="N926" s="8">
        <f>IFERROR(__xludf.DUMMYFUNCTION("""COMPUTED_VALUE"""),7.0)</f>
        <v>7</v>
      </c>
      <c r="O926" s="8"/>
      <c r="P926" s="8"/>
      <c r="Q926" s="8"/>
      <c r="R926" s="8"/>
      <c r="S926" s="8"/>
      <c r="T926" s="8"/>
      <c r="U926" s="8"/>
      <c r="V926" s="8"/>
      <c r="W926" s="8"/>
      <c r="X926" s="8"/>
      <c r="Y926" s="8"/>
      <c r="Z926" s="8"/>
    </row>
    <row r="927">
      <c r="A927" s="8">
        <f>IFERROR(__xludf.DUMMYFUNCTION("""COMPUTED_VALUE"""),9094.0)</f>
        <v>9094</v>
      </c>
      <c r="B927" s="8" t="str">
        <f>IFERROR(__xludf.DUMMYFUNCTION("""COMPUTED_VALUE"""),"tree")</f>
        <v>tree</v>
      </c>
      <c r="C927" s="8" t="str">
        <f>IFERROR(__xludf.DUMMYFUNCTION("""COMPUTED_VALUE"""),"graft")</f>
        <v>graft</v>
      </c>
      <c r="D927" s="55" t="str">
        <f>IFERROR(__xludf.DUMMYFUNCTION("""COMPUTED_VALUE"""),"Pouteria hypoglauca")</f>
        <v>Pouteria hypoglauca</v>
      </c>
      <c r="E927" s="8" t="str">
        <f>IFERROR(__xludf.DUMMYFUNCTION("""COMPUTED_VALUE"""),"Seedling")</f>
        <v>Seedling</v>
      </c>
      <c r="F927" s="8" t="str">
        <f>IFERROR(__xludf.DUMMYFUNCTION("""COMPUTED_VALUE"""),"Cinnamon Apple")</f>
        <v>Cinnamon Apple</v>
      </c>
      <c r="G927" s="8" t="str">
        <f>IFERROR(__xludf.DUMMYFUNCTION("""COMPUTED_VALUE"""),"Pomme à la cannelle")</f>
        <v>Pomme à la cannelle</v>
      </c>
      <c r="H927" s="8" t="str">
        <f>IFERROR(__xludf.DUMMYFUNCTION("""COMPUTED_VALUE"""),"Cinnamon Apple")</f>
        <v>Cinnamon Apple</v>
      </c>
      <c r="I927" s="8"/>
      <c r="J927" s="8"/>
      <c r="K927" s="8"/>
      <c r="L927" s="8" t="str">
        <f>IFERROR(__xludf.DUMMYFUNCTION("""COMPUTED_VALUE"""),"multiple")</f>
        <v>multiple</v>
      </c>
      <c r="M927" s="8">
        <f>IFERROR(__xludf.DUMMYFUNCTION("""COMPUTED_VALUE"""),1.0)</f>
        <v>1</v>
      </c>
      <c r="N927" s="8">
        <f>IFERROR(__xludf.DUMMYFUNCTION("""COMPUTED_VALUE"""),7.0)</f>
        <v>7</v>
      </c>
      <c r="O927" s="8"/>
      <c r="P927" s="8"/>
      <c r="Q927" s="8"/>
      <c r="R927" s="8"/>
      <c r="S927" s="8"/>
      <c r="T927" s="8"/>
      <c r="U927" s="8"/>
      <c r="V927" s="8"/>
      <c r="W927" s="8"/>
      <c r="X927" s="8"/>
      <c r="Y927" s="8"/>
      <c r="Z927" s="8"/>
    </row>
    <row r="928">
      <c r="A928" s="8">
        <f>IFERROR(__xludf.DUMMYFUNCTION("""COMPUTED_VALUE"""),9095.0)</f>
        <v>9095</v>
      </c>
      <c r="B928" s="8" t="str">
        <f>IFERROR(__xludf.DUMMYFUNCTION("""COMPUTED_VALUE"""),"tree")</f>
        <v>tree</v>
      </c>
      <c r="C928" s="8" t="str">
        <f>IFERROR(__xludf.DUMMYFUNCTION("""COMPUTED_VALUE"""),"graft")</f>
        <v>graft</v>
      </c>
      <c r="D928" s="55" t="str">
        <f>IFERROR(__xludf.DUMMYFUNCTION("""COMPUTED_VALUE"""),"Pouteria hypoglauca")</f>
        <v>Pouteria hypoglauca</v>
      </c>
      <c r="E928" s="8" t="str">
        <f>IFERROR(__xludf.DUMMYFUNCTION("""COMPUTED_VALUE"""),"Seedling")</f>
        <v>Seedling</v>
      </c>
      <c r="F928" s="8" t="str">
        <f>IFERROR(__xludf.DUMMYFUNCTION("""COMPUTED_VALUE"""),"Cinnamon Apple")</f>
        <v>Cinnamon Apple</v>
      </c>
      <c r="G928" s="8" t="str">
        <f>IFERROR(__xludf.DUMMYFUNCTION("""COMPUTED_VALUE"""),"Pomme à la cannelle")</f>
        <v>Pomme à la cannelle</v>
      </c>
      <c r="H928" s="8" t="str">
        <f>IFERROR(__xludf.DUMMYFUNCTION("""COMPUTED_VALUE"""),"Cinnamon Apple")</f>
        <v>Cinnamon Apple</v>
      </c>
      <c r="I928" s="8"/>
      <c r="J928" s="8"/>
      <c r="K928" s="8"/>
      <c r="L928" s="8" t="str">
        <f>IFERROR(__xludf.DUMMYFUNCTION("""COMPUTED_VALUE"""),"multiple")</f>
        <v>multiple</v>
      </c>
      <c r="M928" s="8">
        <f>IFERROR(__xludf.DUMMYFUNCTION("""COMPUTED_VALUE"""),1.0)</f>
        <v>1</v>
      </c>
      <c r="N928" s="8">
        <f>IFERROR(__xludf.DUMMYFUNCTION("""COMPUTED_VALUE"""),7.0)</f>
        <v>7</v>
      </c>
      <c r="O928" s="8"/>
      <c r="P928" s="8"/>
      <c r="Q928" s="8"/>
      <c r="R928" s="8"/>
      <c r="S928" s="8"/>
      <c r="T928" s="8"/>
      <c r="U928" s="8"/>
      <c r="V928" s="8"/>
      <c r="W928" s="8"/>
      <c r="X928" s="8"/>
      <c r="Y928" s="8"/>
      <c r="Z928" s="8"/>
    </row>
    <row r="929">
      <c r="A929" s="8">
        <f>IFERROR(__xludf.DUMMYFUNCTION("""COMPUTED_VALUE"""),9096.0)</f>
        <v>9096</v>
      </c>
      <c r="B929" s="8" t="str">
        <f>IFERROR(__xludf.DUMMYFUNCTION("""COMPUTED_VALUE"""),"tree")</f>
        <v>tree</v>
      </c>
      <c r="C929" s="8" t="str">
        <f>IFERROR(__xludf.DUMMYFUNCTION("""COMPUTED_VALUE"""),"graft")</f>
        <v>graft</v>
      </c>
      <c r="D929" s="55" t="str">
        <f>IFERROR(__xludf.DUMMYFUNCTION("""COMPUTED_VALUE"""),"Mangifera indica")</f>
        <v>Mangifera indica</v>
      </c>
      <c r="E929" s="8" t="str">
        <f>IFERROR(__xludf.DUMMYFUNCTION("""COMPUTED_VALUE"""),"Nam Doc Mai")</f>
        <v>Nam Doc Mai</v>
      </c>
      <c r="F929" s="8" t="str">
        <f>IFERROR(__xludf.DUMMYFUNCTION("""COMPUTED_VALUE"""),"Mango")</f>
        <v>Mango</v>
      </c>
      <c r="G929" s="8" t="str">
        <f>IFERROR(__xludf.DUMMYFUNCTION("""COMPUTED_VALUE"""),"mangue")</f>
        <v>mangue</v>
      </c>
      <c r="H929" s="8" t="str">
        <f>IFERROR(__xludf.DUMMYFUNCTION("""COMPUTED_VALUE"""),"Mango")</f>
        <v>Mango</v>
      </c>
      <c r="I929" s="8"/>
      <c r="J929" s="8"/>
      <c r="K929" s="8"/>
      <c r="L929" s="8">
        <f>IFERROR(__xludf.DUMMYFUNCTION("""COMPUTED_VALUE"""),1.0)</f>
        <v>1</v>
      </c>
      <c r="M929" s="8">
        <f>IFERROR(__xludf.DUMMYFUNCTION("""COMPUTED_VALUE"""),2.0)</f>
        <v>2</v>
      </c>
      <c r="N929" s="8">
        <f>IFERROR(__xludf.DUMMYFUNCTION("""COMPUTED_VALUE"""),2.0)</f>
        <v>2</v>
      </c>
      <c r="O929" s="8"/>
      <c r="P929" s="8"/>
      <c r="Q929" s="8"/>
      <c r="R929" s="8"/>
      <c r="S929" s="8"/>
      <c r="T929" s="8"/>
      <c r="U929" s="8"/>
      <c r="V929" s="8"/>
      <c r="W929" s="8"/>
      <c r="X929" s="8"/>
      <c r="Y929" s="8"/>
      <c r="Z929" s="8"/>
    </row>
    <row r="930">
      <c r="A930" s="8">
        <f>IFERROR(__xludf.DUMMYFUNCTION("""COMPUTED_VALUE"""),9101.0)</f>
        <v>9101</v>
      </c>
      <c r="B930" s="8" t="str">
        <f>IFERROR(__xludf.DUMMYFUNCTION("""COMPUTED_VALUE"""),"perennial")</f>
        <v>perennial</v>
      </c>
      <c r="C930" s="8" t="str">
        <f>IFERROR(__xludf.DUMMYFUNCTION("""COMPUTED_VALUE"""),"seed")</f>
        <v>seed</v>
      </c>
      <c r="D930" s="55" t="str">
        <f>IFERROR(__xludf.DUMMYFUNCTION("""COMPUTED_VALUE"""),"Synsepalum dulcificum")</f>
        <v>Synsepalum dulcificum</v>
      </c>
      <c r="E930" s="8" t="str">
        <f>IFERROR(__xludf.DUMMYFUNCTION("""COMPUTED_VALUE"""),"Seedling")</f>
        <v>Seedling</v>
      </c>
      <c r="F930" s="8" t="str">
        <f>IFERROR(__xludf.DUMMYFUNCTION("""COMPUTED_VALUE"""),"Miracle Fruit")</f>
        <v>Miracle Fruit</v>
      </c>
      <c r="G930" s="8" t="str">
        <f>IFERROR(__xludf.DUMMYFUNCTION("""COMPUTED_VALUE"""),"Baie Miracle")</f>
        <v>Baie Miracle</v>
      </c>
      <c r="H930" s="8" t="str">
        <f>IFERROR(__xludf.DUMMYFUNCTION("""COMPUTED_VALUE"""),"Miracle Berry")</f>
        <v>Miracle Berry</v>
      </c>
      <c r="I930" s="8"/>
      <c r="J930" s="8"/>
      <c r="K930" s="8"/>
      <c r="L930" s="8">
        <f>IFERROR(__xludf.DUMMYFUNCTION("""COMPUTED_VALUE"""),1.0)</f>
        <v>1</v>
      </c>
      <c r="M930" s="8">
        <f>IFERROR(__xludf.DUMMYFUNCTION("""COMPUTED_VALUE"""),0.0)</f>
        <v>0</v>
      </c>
      <c r="N930" s="8">
        <f>IFERROR(__xludf.DUMMYFUNCTION("""COMPUTED_VALUE"""),0.0)</f>
        <v>0</v>
      </c>
      <c r="O930" s="8"/>
      <c r="P930" s="8"/>
      <c r="Q930" s="8"/>
      <c r="R930" s="8"/>
      <c r="S930" s="8"/>
      <c r="T930" s="8"/>
      <c r="U930" s="8"/>
      <c r="V930" s="8"/>
      <c r="W930" s="8"/>
      <c r="X930" s="8"/>
      <c r="Y930" s="8"/>
      <c r="Z930" s="8"/>
    </row>
    <row r="931">
      <c r="A931" s="8">
        <f>IFERROR(__xludf.DUMMYFUNCTION("""COMPUTED_VALUE"""),9102.0)</f>
        <v>9102</v>
      </c>
      <c r="B931" s="8" t="str">
        <f>IFERROR(__xludf.DUMMYFUNCTION("""COMPUTED_VALUE"""),"tree")</f>
        <v>tree</v>
      </c>
      <c r="C931" s="8" t="str">
        <f>IFERROR(__xludf.DUMMYFUNCTION("""COMPUTED_VALUE"""),"cutting, graft")</f>
        <v>cutting, graft</v>
      </c>
      <c r="D931" s="55" t="str">
        <f>IFERROR(__xludf.DUMMYFUNCTION("""COMPUTED_VALUE"""),"Ficus carica")</f>
        <v>Ficus carica</v>
      </c>
      <c r="E931" s="8" t="str">
        <f>IFERROR(__xludf.DUMMYFUNCTION("""COMPUTED_VALUE"""),"Green Picola")</f>
        <v>Green Picola</v>
      </c>
      <c r="F931" s="8" t="str">
        <f>IFERROR(__xludf.DUMMYFUNCTION("""COMPUTED_VALUE"""),"Fig")</f>
        <v>Fig</v>
      </c>
      <c r="G931" s="8" t="str">
        <f>IFERROR(__xludf.DUMMYFUNCTION("""COMPUTED_VALUE"""),"figue")</f>
        <v>figue</v>
      </c>
      <c r="H931" s="8" t="str">
        <f>IFERROR(__xludf.DUMMYFUNCTION("""COMPUTED_VALUE"""),"Fig")</f>
        <v>Fig</v>
      </c>
      <c r="I931" s="8"/>
      <c r="J931" s="8"/>
      <c r="K931" s="8"/>
      <c r="L931" s="8" t="str">
        <f>IFERROR(__xludf.DUMMYFUNCTION("""COMPUTED_VALUE"""),"multiple")</f>
        <v>multiple</v>
      </c>
      <c r="M931" s="8">
        <f>IFERROR(__xludf.DUMMYFUNCTION("""COMPUTED_VALUE"""),0.0)</f>
        <v>0</v>
      </c>
      <c r="N931" s="8">
        <f>IFERROR(__xludf.DUMMYFUNCTION("""COMPUTED_VALUE"""),0.0)</f>
        <v>0</v>
      </c>
      <c r="O931" s="8"/>
      <c r="P931" s="8"/>
      <c r="Q931" s="8"/>
      <c r="R931" s="8"/>
      <c r="S931" s="8"/>
      <c r="T931" s="8"/>
      <c r="U931" s="8"/>
      <c r="V931" s="8"/>
      <c r="W931" s="8"/>
      <c r="X931" s="8"/>
      <c r="Y931" s="8"/>
      <c r="Z931" s="8"/>
    </row>
    <row r="932">
      <c r="A932" s="8">
        <f>IFERROR(__xludf.DUMMYFUNCTION("""COMPUTED_VALUE"""),9103.0)</f>
        <v>9103</v>
      </c>
      <c r="B932" s="8" t="str">
        <f>IFERROR(__xludf.DUMMYFUNCTION("""COMPUTED_VALUE"""),"tree")</f>
        <v>tree</v>
      </c>
      <c r="C932" s="8" t="str">
        <f>IFERROR(__xludf.DUMMYFUNCTION("""COMPUTED_VALUE"""),"graft")</f>
        <v>graft</v>
      </c>
      <c r="D932" s="55" t="str">
        <f>IFERROR(__xludf.DUMMYFUNCTION("""COMPUTED_VALUE"""),"Persea americana")</f>
        <v>Persea americana</v>
      </c>
      <c r="E932" s="8" t="str">
        <f>IFERROR(__xludf.DUMMYFUNCTION("""COMPUTED_VALUE"""),"Simmonds")</f>
        <v>Simmonds</v>
      </c>
      <c r="F932" s="8" t="str">
        <f>IFERROR(__xludf.DUMMYFUNCTION("""COMPUTED_VALUE"""),"Avocado")</f>
        <v>Avocado</v>
      </c>
      <c r="G932" s="8" t="str">
        <f>IFERROR(__xludf.DUMMYFUNCTION("""COMPUTED_VALUE"""),"Avocat")</f>
        <v>Avocat</v>
      </c>
      <c r="H932" s="8" t="str">
        <f>IFERROR(__xludf.DUMMYFUNCTION("""COMPUTED_VALUE"""),"Avocado")</f>
        <v>Avocado</v>
      </c>
      <c r="I932" s="8"/>
      <c r="J932" s="8"/>
      <c r="K932" s="8"/>
      <c r="L932" s="8">
        <f>IFERROR(__xludf.DUMMYFUNCTION("""COMPUTED_VALUE"""),1.0)</f>
        <v>1</v>
      </c>
      <c r="M932" s="8">
        <f>IFERROR(__xludf.DUMMYFUNCTION("""COMPUTED_VALUE"""),1.0)</f>
        <v>1</v>
      </c>
      <c r="N932" s="8">
        <f>IFERROR(__xludf.DUMMYFUNCTION("""COMPUTED_VALUE"""),1.0)</f>
        <v>1</v>
      </c>
      <c r="O932" s="8"/>
      <c r="P932" s="8"/>
      <c r="Q932" s="8"/>
      <c r="R932" s="8"/>
      <c r="S932" s="8"/>
      <c r="T932" s="8"/>
      <c r="U932" s="8"/>
      <c r="V932" s="8"/>
      <c r="W932" s="8"/>
      <c r="X932" s="8"/>
      <c r="Y932" s="8"/>
      <c r="Z932" s="8"/>
    </row>
    <row r="933">
      <c r="A933" s="8">
        <f>IFERROR(__xludf.DUMMYFUNCTION("""COMPUTED_VALUE"""),9105.0)</f>
        <v>9105</v>
      </c>
      <c r="B933" s="8" t="str">
        <f>IFERROR(__xludf.DUMMYFUNCTION("""COMPUTED_VALUE"""),"perennial")</f>
        <v>perennial</v>
      </c>
      <c r="C933" s="8" t="str">
        <f>IFERROR(__xludf.DUMMYFUNCTION("""COMPUTED_VALUE"""),"air_layer")</f>
        <v>air_layer</v>
      </c>
      <c r="D933" s="55" t="str">
        <f>IFERROR(__xludf.DUMMYFUNCTION("""COMPUTED_VALUE"""),"Eugenia brasiliensis")</f>
        <v>Eugenia brasiliensis</v>
      </c>
      <c r="E933" s="8"/>
      <c r="F933" s="8" t="str">
        <f>IFERROR(__xludf.DUMMYFUNCTION("""COMPUTED_VALUE"""),"Grumichama Cherry")</f>
        <v>Grumichama Cherry</v>
      </c>
      <c r="G933" s="8" t="str">
        <f>IFERROR(__xludf.DUMMYFUNCTION("""COMPUTED_VALUE"""),"Cerise Grumichama (brasiliensis)")</f>
        <v>Cerise Grumichama (brasiliensis)</v>
      </c>
      <c r="H933" s="8" t="str">
        <f>IFERROR(__xludf.DUMMYFUNCTION("""COMPUTED_VALUE"""),"Grumichama Cherry (brasiliensis)")</f>
        <v>Grumichama Cherry (brasiliensis)</v>
      </c>
      <c r="I933" s="8"/>
      <c r="J933" s="8"/>
      <c r="K933" s="8"/>
      <c r="L933" s="8">
        <f>IFERROR(__xludf.DUMMYFUNCTION("""COMPUTED_VALUE"""),1.0)</f>
        <v>1</v>
      </c>
      <c r="M933" s="8"/>
      <c r="N933" s="8"/>
      <c r="O933" s="8"/>
      <c r="P933" s="8"/>
      <c r="Q933" s="8"/>
      <c r="R933" s="8"/>
      <c r="S933" s="8"/>
      <c r="T933" s="8"/>
      <c r="U933" s="8"/>
      <c r="V933" s="8"/>
      <c r="W933" s="8"/>
      <c r="X933" s="8"/>
      <c r="Y933" s="8"/>
      <c r="Z933" s="8"/>
    </row>
    <row r="934">
      <c r="A934" s="8">
        <f>IFERROR(__xludf.DUMMYFUNCTION("""COMPUTED_VALUE"""),9112.0)</f>
        <v>9112</v>
      </c>
      <c r="B934" s="8" t="str">
        <f>IFERROR(__xludf.DUMMYFUNCTION("""COMPUTED_VALUE"""),"tree")</f>
        <v>tree</v>
      </c>
      <c r="C934" s="8" t="str">
        <f>IFERROR(__xludf.DUMMYFUNCTION("""COMPUTED_VALUE"""),"seed")</f>
        <v>seed</v>
      </c>
      <c r="D934" s="55" t="str">
        <f>IFERROR(__xludf.DUMMYFUNCTION("""COMPUTED_VALUE"""),"Plinia edulis")</f>
        <v>Plinia edulis</v>
      </c>
      <c r="E934" s="8" t="str">
        <f>IFERROR(__xludf.DUMMYFUNCTION("""COMPUTED_VALUE"""),"Seedling")</f>
        <v>Seedling</v>
      </c>
      <c r="F934" s="8" t="str">
        <f>IFERROR(__xludf.DUMMYFUNCTION("""COMPUTED_VALUE"""),"Cambuca ")</f>
        <v>Cambuca </v>
      </c>
      <c r="G934" s="8" t="str">
        <f>IFERROR(__xludf.DUMMYFUNCTION("""COMPUTED_VALUE"""),"Cambucá")</f>
        <v>Cambucá</v>
      </c>
      <c r="H934" s="8" t="str">
        <f>IFERROR(__xludf.DUMMYFUNCTION("""COMPUTED_VALUE"""),"Cambucá")</f>
        <v>Cambucá</v>
      </c>
      <c r="I934" s="8"/>
      <c r="J934" s="8"/>
      <c r="K934" s="8"/>
      <c r="L934" s="8"/>
      <c r="M934" s="8">
        <f>IFERROR(__xludf.DUMMYFUNCTION("""COMPUTED_VALUE"""),0.0)</f>
        <v>0</v>
      </c>
      <c r="N934" s="8">
        <f>IFERROR(__xludf.DUMMYFUNCTION("""COMPUTED_VALUE"""),0.0)</f>
        <v>0</v>
      </c>
      <c r="O934" s="8"/>
      <c r="P934" s="8"/>
      <c r="Q934" s="8"/>
      <c r="R934" s="8"/>
      <c r="S934" s="8"/>
      <c r="T934" s="8"/>
      <c r="U934" s="8"/>
      <c r="V934" s="8"/>
      <c r="W934" s="8"/>
      <c r="X934" s="8"/>
      <c r="Y934" s="8"/>
      <c r="Z934" s="8"/>
    </row>
    <row r="935">
      <c r="A935" s="8">
        <f>IFERROR(__xludf.DUMMYFUNCTION("""COMPUTED_VALUE"""),9113.0)</f>
        <v>9113</v>
      </c>
      <c r="B935" s="8" t="str">
        <f>IFERROR(__xludf.DUMMYFUNCTION("""COMPUTED_VALUE"""),"tree")</f>
        <v>tree</v>
      </c>
      <c r="C935" s="8" t="str">
        <f>IFERROR(__xludf.DUMMYFUNCTION("""COMPUTED_VALUE"""),"seed")</f>
        <v>seed</v>
      </c>
      <c r="D935" s="55" t="str">
        <f>IFERROR(__xludf.DUMMYFUNCTION("""COMPUTED_VALUE"""),"Plinia edulis")</f>
        <v>Plinia edulis</v>
      </c>
      <c r="E935" s="8" t="str">
        <f>IFERROR(__xludf.DUMMYFUNCTION("""COMPUTED_VALUE"""),"Seedling")</f>
        <v>Seedling</v>
      </c>
      <c r="F935" s="8" t="str">
        <f>IFERROR(__xludf.DUMMYFUNCTION("""COMPUTED_VALUE"""),"Cambuca ")</f>
        <v>Cambuca </v>
      </c>
      <c r="G935" s="8" t="str">
        <f>IFERROR(__xludf.DUMMYFUNCTION("""COMPUTED_VALUE"""),"Cambucá")</f>
        <v>Cambucá</v>
      </c>
      <c r="H935" s="8" t="str">
        <f>IFERROR(__xludf.DUMMYFUNCTION("""COMPUTED_VALUE"""),"Cambucá")</f>
        <v>Cambucá</v>
      </c>
      <c r="I935" s="8"/>
      <c r="J935" s="8"/>
      <c r="K935" s="8"/>
      <c r="L935" s="8"/>
      <c r="M935" s="8">
        <f>IFERROR(__xludf.DUMMYFUNCTION("""COMPUTED_VALUE"""),0.0)</f>
        <v>0</v>
      </c>
      <c r="N935" s="8">
        <f>IFERROR(__xludf.DUMMYFUNCTION("""COMPUTED_VALUE"""),0.0)</f>
        <v>0</v>
      </c>
      <c r="O935" s="8"/>
      <c r="P935" s="8"/>
      <c r="Q935" s="8"/>
      <c r="R935" s="8"/>
      <c r="S935" s="8"/>
      <c r="T935" s="8"/>
      <c r="U935" s="8"/>
      <c r="V935" s="8"/>
      <c r="W935" s="8"/>
      <c r="X935" s="8"/>
      <c r="Y935" s="8"/>
      <c r="Z935" s="8"/>
    </row>
    <row r="936">
      <c r="A936" s="8">
        <f>IFERROR(__xludf.DUMMYFUNCTION("""COMPUTED_VALUE"""),9116.0)</f>
        <v>9116</v>
      </c>
      <c r="B936" s="8" t="str">
        <f>IFERROR(__xludf.DUMMYFUNCTION("""COMPUTED_VALUE"""),"tree")</f>
        <v>tree</v>
      </c>
      <c r="C936" s="8" t="str">
        <f>IFERROR(__xludf.DUMMYFUNCTION("""COMPUTED_VALUE"""),"graft")</f>
        <v>graft</v>
      </c>
      <c r="D936" s="55" t="str">
        <f>IFERROR(__xludf.DUMMYFUNCTION("""COMPUTED_VALUE"""),"Pouteria sapota")</f>
        <v>Pouteria sapota</v>
      </c>
      <c r="E936" s="8" t="str">
        <f>IFERROR(__xludf.DUMMYFUNCTION("""COMPUTED_VALUE"""),"Pace")</f>
        <v>Pace</v>
      </c>
      <c r="F936" s="8" t="str">
        <f>IFERROR(__xludf.DUMMYFUNCTION("""COMPUTED_VALUE"""),"Mamey Sapote")</f>
        <v>Mamey Sapote</v>
      </c>
      <c r="G936" s="8" t="str">
        <f>IFERROR(__xludf.DUMMYFUNCTION("""COMPUTED_VALUE"""),"Sapote Mamey")</f>
        <v>Sapote Mamey</v>
      </c>
      <c r="H936" s="8" t="str">
        <f>IFERROR(__xludf.DUMMYFUNCTION("""COMPUTED_VALUE"""),"Mamey Sapote")</f>
        <v>Mamey Sapote</v>
      </c>
      <c r="I936" s="8"/>
      <c r="J936" s="8"/>
      <c r="K936" s="8"/>
      <c r="L936" s="8" t="str">
        <f>IFERROR(__xludf.DUMMYFUNCTION("""COMPUTED_VALUE"""),"multiple")</f>
        <v>multiple</v>
      </c>
      <c r="M936" s="8">
        <f>IFERROR(__xludf.DUMMYFUNCTION("""COMPUTED_VALUE"""),0.0)</f>
        <v>0</v>
      </c>
      <c r="N936" s="8">
        <f>IFERROR(__xludf.DUMMYFUNCTION("""COMPUTED_VALUE"""),0.0)</f>
        <v>0</v>
      </c>
      <c r="O936" s="8"/>
      <c r="P936" s="8"/>
      <c r="Q936" s="8"/>
      <c r="R936" s="8"/>
      <c r="S936" s="8"/>
      <c r="T936" s="8"/>
      <c r="U936" s="8"/>
      <c r="V936" s="8"/>
      <c r="W936" s="8"/>
      <c r="X936" s="8"/>
      <c r="Y936" s="8"/>
      <c r="Z936" s="8"/>
    </row>
    <row r="937">
      <c r="A937" s="8">
        <f>IFERROR(__xludf.DUMMYFUNCTION("""COMPUTED_VALUE"""),9117.0)</f>
        <v>9117</v>
      </c>
      <c r="B937" s="8" t="str">
        <f>IFERROR(__xludf.DUMMYFUNCTION("""COMPUTED_VALUE"""),"tree")</f>
        <v>tree</v>
      </c>
      <c r="C937" s="8" t="str">
        <f>IFERROR(__xludf.DUMMYFUNCTION("""COMPUTED_VALUE"""),"graft")</f>
        <v>graft</v>
      </c>
      <c r="D937" s="8" t="str">
        <f>IFERROR(__xludf.DUMMYFUNCTION("""COMPUTED_VALUE"""),"Plinia rivularis")</f>
        <v>Plinia rivularis</v>
      </c>
      <c r="E937" s="8" t="str">
        <f>IFERROR(__xludf.DUMMYFUNCTION("""COMPUTED_VALUE"""),"Seedling")</f>
        <v>Seedling</v>
      </c>
      <c r="F937" s="8" t="str">
        <f>IFERROR(__xludf.DUMMYFUNCTION("""COMPUTED_VALUE"""),"Rivularis")</f>
        <v>Rivularis</v>
      </c>
      <c r="G937" s="8" t="str">
        <f>IFERROR(__xludf.DUMMYFUNCTION("""COMPUTED_VALUE"""),"Rivularis")</f>
        <v>Rivularis</v>
      </c>
      <c r="H937" s="8" t="str">
        <f>IFERROR(__xludf.DUMMYFUNCTION("""COMPUTED_VALUE"""),"Rivularis")</f>
        <v>Rivularis</v>
      </c>
      <c r="I937" s="8"/>
      <c r="J937" s="8"/>
      <c r="K937" s="8"/>
      <c r="L937" s="8"/>
      <c r="M937" s="8">
        <f>IFERROR(__xludf.DUMMYFUNCTION("""COMPUTED_VALUE"""),0.0)</f>
        <v>0</v>
      </c>
      <c r="N937" s="8">
        <f>IFERROR(__xludf.DUMMYFUNCTION("""COMPUTED_VALUE"""),0.0)</f>
        <v>0</v>
      </c>
      <c r="O937" s="8"/>
      <c r="P937" s="8"/>
      <c r="Q937" s="8"/>
      <c r="R937" s="8"/>
      <c r="S937" s="8"/>
      <c r="T937" s="8"/>
      <c r="U937" s="8"/>
      <c r="V937" s="8"/>
      <c r="W937" s="8"/>
      <c r="X937" s="8"/>
      <c r="Y937" s="8"/>
      <c r="Z937" s="8"/>
    </row>
    <row r="938">
      <c r="A938" s="8">
        <f>IFERROR(__xludf.DUMMYFUNCTION("""COMPUTED_VALUE"""),9122.0)</f>
        <v>9122</v>
      </c>
      <c r="B938" s="8" t="str">
        <f>IFERROR(__xludf.DUMMYFUNCTION("""COMPUTED_VALUE"""),"tree")</f>
        <v>tree</v>
      </c>
      <c r="C938" s="8" t="str">
        <f>IFERROR(__xludf.DUMMYFUNCTION("""COMPUTED_VALUE"""),"air_layer")</f>
        <v>air_layer</v>
      </c>
      <c r="D938" s="55" t="str">
        <f>IFERROR(__xludf.DUMMYFUNCTION("""COMPUTED_VALUE"""),"Psidium guajava")</f>
        <v>Psidium guajava</v>
      </c>
      <c r="E938" s="8" t="str">
        <f>IFERROR(__xludf.DUMMYFUNCTION("""COMPUTED_VALUE"""),"Variegated")</f>
        <v>Variegated</v>
      </c>
      <c r="F938" s="8" t="str">
        <f>IFERROR(__xludf.DUMMYFUNCTION("""COMPUTED_VALUE"""),"Guava")</f>
        <v>Guava</v>
      </c>
      <c r="G938" s="8" t="str">
        <f>IFERROR(__xludf.DUMMYFUNCTION("""COMPUTED_VALUE"""),"Goyave")</f>
        <v>Goyave</v>
      </c>
      <c r="H938" s="8" t="str">
        <f>IFERROR(__xludf.DUMMYFUNCTION("""COMPUTED_VALUE"""),"graft")</f>
        <v>graft</v>
      </c>
      <c r="I938" s="8"/>
      <c r="J938" s="8"/>
      <c r="K938" s="8"/>
      <c r="L938" s="8" t="str">
        <f>IFERROR(__xludf.DUMMYFUNCTION("""COMPUTED_VALUE"""),"multiple")</f>
        <v>multiple</v>
      </c>
      <c r="M938" s="8">
        <f>IFERROR(__xludf.DUMMYFUNCTION("""COMPUTED_VALUE"""),0.0)</f>
        <v>0</v>
      </c>
      <c r="N938" s="8">
        <f>IFERROR(__xludf.DUMMYFUNCTION("""COMPUTED_VALUE"""),1.0)</f>
        <v>1</v>
      </c>
      <c r="O938" s="8"/>
      <c r="P938" s="8"/>
      <c r="Q938" s="8"/>
      <c r="R938" s="8"/>
      <c r="S938" s="8"/>
      <c r="T938" s="8"/>
      <c r="U938" s="8"/>
      <c r="V938" s="8"/>
      <c r="W938" s="8"/>
      <c r="X938" s="8"/>
      <c r="Y938" s="8"/>
      <c r="Z938" s="8"/>
    </row>
    <row r="939">
      <c r="A939" s="8">
        <f>IFERROR(__xludf.DUMMYFUNCTION("""COMPUTED_VALUE"""),9123.0)</f>
        <v>9123</v>
      </c>
      <c r="B939" s="8" t="str">
        <f>IFERROR(__xludf.DUMMYFUNCTION("""COMPUTED_VALUE"""),"tree")</f>
        <v>tree</v>
      </c>
      <c r="C939" s="8" t="str">
        <f>IFERROR(__xludf.DUMMYFUNCTION("""COMPUTED_VALUE"""),"graft")</f>
        <v>graft</v>
      </c>
      <c r="D939" s="55" t="str">
        <f>IFERROR(__xludf.DUMMYFUNCTION("""COMPUTED_VALUE"""),"Nephelium mutabile")</f>
        <v>Nephelium mutabile</v>
      </c>
      <c r="E939" s="8" t="str">
        <f>IFERROR(__xludf.DUMMYFUNCTION("""COMPUTED_VALUE"""),"Seedling")</f>
        <v>Seedling</v>
      </c>
      <c r="F939" s="8" t="str">
        <f>IFERROR(__xludf.DUMMYFUNCTION("""COMPUTED_VALUE"""),"Pulasan")</f>
        <v>Pulasan</v>
      </c>
      <c r="G939" s="8" t="str">
        <f>IFERROR(__xludf.DUMMYFUNCTION("""COMPUTED_VALUE"""),"Pulasan")</f>
        <v>Pulasan</v>
      </c>
      <c r="H939" s="8" t="str">
        <f>IFERROR(__xludf.DUMMYFUNCTION("""COMPUTED_VALUE"""),"Pulasan")</f>
        <v>Pulasan</v>
      </c>
      <c r="I939" s="8"/>
      <c r="J939" s="8"/>
      <c r="K939" s="8"/>
      <c r="L939" s="8">
        <f>IFERROR(__xludf.DUMMYFUNCTION("""COMPUTED_VALUE"""),1.0)</f>
        <v>1</v>
      </c>
      <c r="M939" s="8">
        <f>IFERROR(__xludf.DUMMYFUNCTION("""COMPUTED_VALUE"""),0.0)</f>
        <v>0</v>
      </c>
      <c r="N939" s="8">
        <f>IFERROR(__xludf.DUMMYFUNCTION("""COMPUTED_VALUE"""),0.0)</f>
        <v>0</v>
      </c>
      <c r="O939" s="8"/>
      <c r="P939" s="8"/>
      <c r="Q939" s="8"/>
      <c r="R939" s="8"/>
      <c r="S939" s="8"/>
      <c r="T939" s="8"/>
      <c r="U939" s="8"/>
      <c r="V939" s="8"/>
      <c r="W939" s="8"/>
      <c r="X939" s="8"/>
      <c r="Y939" s="8"/>
      <c r="Z939" s="8"/>
    </row>
    <row r="940">
      <c r="A940" s="8">
        <f>IFERROR(__xludf.DUMMYFUNCTION("""COMPUTED_VALUE"""),9124.0)</f>
        <v>9124</v>
      </c>
      <c r="B940" s="8" t="str">
        <f>IFERROR(__xludf.DUMMYFUNCTION("""COMPUTED_VALUE"""),"tree")</f>
        <v>tree</v>
      </c>
      <c r="C940" s="8" t="str">
        <f>IFERROR(__xludf.DUMMYFUNCTION("""COMPUTED_VALUE"""),"graft")</f>
        <v>graft</v>
      </c>
      <c r="D940" s="55" t="str">
        <f>IFERROR(__xludf.DUMMYFUNCTION("""COMPUTED_VALUE"""),"Manilkara zapota")</f>
        <v>Manilkara zapota</v>
      </c>
      <c r="E940" s="8" t="str">
        <f>IFERROR(__xludf.DUMMYFUNCTION("""COMPUTED_VALUE"""),"Butterscotch")</f>
        <v>Butterscotch</v>
      </c>
      <c r="F940" s="8" t="str">
        <f>IFERROR(__xludf.DUMMYFUNCTION("""COMPUTED_VALUE"""),"Sapodilla")</f>
        <v>Sapodilla</v>
      </c>
      <c r="G940" s="8" t="str">
        <f>IFERROR(__xludf.DUMMYFUNCTION("""COMPUTED_VALUE"""),"Sapotille")</f>
        <v>Sapotille</v>
      </c>
      <c r="H940" s="8" t="str">
        <f>IFERROR(__xludf.DUMMYFUNCTION("""COMPUTED_VALUE"""),"Sapodilla")</f>
        <v>Sapodilla</v>
      </c>
      <c r="I940" s="8"/>
      <c r="J940" s="8"/>
      <c r="K940" s="8"/>
      <c r="L940" s="8" t="str">
        <f>IFERROR(__xludf.DUMMYFUNCTION("""COMPUTED_VALUE"""),"multiple")</f>
        <v>multiple</v>
      </c>
      <c r="M940" s="8">
        <f>IFERROR(__xludf.DUMMYFUNCTION("""COMPUTED_VALUE"""),0.0)</f>
        <v>0</v>
      </c>
      <c r="N940" s="8">
        <f>IFERROR(__xludf.DUMMYFUNCTION("""COMPUTED_VALUE"""),0.0)</f>
        <v>0</v>
      </c>
      <c r="O940" s="8"/>
      <c r="P940" s="8"/>
      <c r="Q940" s="8"/>
      <c r="R940" s="8"/>
      <c r="S940" s="8"/>
      <c r="T940" s="8"/>
      <c r="U940" s="8"/>
      <c r="V940" s="8"/>
      <c r="W940" s="8"/>
      <c r="X940" s="8"/>
      <c r="Y940" s="8"/>
      <c r="Z940" s="8"/>
    </row>
    <row r="941">
      <c r="A941" s="8">
        <f>IFERROR(__xludf.DUMMYFUNCTION("""COMPUTED_VALUE"""),9125.0)</f>
        <v>9125</v>
      </c>
      <c r="B941" s="8" t="str">
        <f>IFERROR(__xludf.DUMMYFUNCTION("""COMPUTED_VALUE"""),"tree")</f>
        <v>tree</v>
      </c>
      <c r="C941" s="8" t="str">
        <f>IFERROR(__xludf.DUMMYFUNCTION("""COMPUTED_VALUE"""),"graft")</f>
        <v>graft</v>
      </c>
      <c r="D941" s="55" t="str">
        <f>IFERROR(__xludf.DUMMYFUNCTION("""COMPUTED_VALUE"""),"Manilkara zapota")</f>
        <v>Manilkara zapota</v>
      </c>
      <c r="E941" s="8" t="str">
        <f>IFERROR(__xludf.DUMMYFUNCTION("""COMPUTED_VALUE"""),"Makok")</f>
        <v>Makok</v>
      </c>
      <c r="F941" s="8" t="str">
        <f>IFERROR(__xludf.DUMMYFUNCTION("""COMPUTED_VALUE"""),"Sapodilla")</f>
        <v>Sapodilla</v>
      </c>
      <c r="G941" s="8" t="str">
        <f>IFERROR(__xludf.DUMMYFUNCTION("""COMPUTED_VALUE"""),"Sapotille")</f>
        <v>Sapotille</v>
      </c>
      <c r="H941" s="8" t="str">
        <f>IFERROR(__xludf.DUMMYFUNCTION("""COMPUTED_VALUE"""),"Sapodilla")</f>
        <v>Sapodilla</v>
      </c>
      <c r="I941" s="8"/>
      <c r="J941" s="8"/>
      <c r="K941" s="8"/>
      <c r="L941" s="8" t="str">
        <f>IFERROR(__xludf.DUMMYFUNCTION("""COMPUTED_VALUE"""),"multiple")</f>
        <v>multiple</v>
      </c>
      <c r="M941" s="8">
        <f>IFERROR(__xludf.DUMMYFUNCTION("""COMPUTED_VALUE"""),0.0)</f>
        <v>0</v>
      </c>
      <c r="N941" s="8">
        <f>IFERROR(__xludf.DUMMYFUNCTION("""COMPUTED_VALUE"""),0.0)</f>
        <v>0</v>
      </c>
      <c r="O941" s="8"/>
      <c r="P941" s="8"/>
      <c r="Q941" s="8"/>
      <c r="R941" s="8"/>
      <c r="S941" s="8"/>
      <c r="T941" s="8"/>
      <c r="U941" s="8"/>
      <c r="V941" s="8"/>
      <c r="W941" s="8"/>
      <c r="X941" s="8"/>
      <c r="Y941" s="8"/>
      <c r="Z941" s="8"/>
    </row>
    <row r="942">
      <c r="A942" s="8">
        <f>IFERROR(__xludf.DUMMYFUNCTION("""COMPUTED_VALUE"""),9129.0)</f>
        <v>9129</v>
      </c>
      <c r="B942" s="8" t="str">
        <f>IFERROR(__xludf.DUMMYFUNCTION("""COMPUTED_VALUE"""),"tree")</f>
        <v>tree</v>
      </c>
      <c r="C942" s="8" t="str">
        <f>IFERROR(__xludf.DUMMYFUNCTION("""COMPUTED_VALUE"""),"graft")</f>
        <v>graft</v>
      </c>
      <c r="D942" s="55" t="str">
        <f>IFERROR(__xludf.DUMMYFUNCTION("""COMPUTED_VALUE"""),"Plinia cauliflora")</f>
        <v>Plinia cauliflora</v>
      </c>
      <c r="E942" s="8" t="str">
        <f>IFERROR(__xludf.DUMMYFUNCTION("""COMPUTED_VALUE"""),"Red")</f>
        <v>Red</v>
      </c>
      <c r="F942" s="8" t="str">
        <f>IFERROR(__xludf.DUMMYFUNCTION("""COMPUTED_VALUE"""),"Jaboticaba")</f>
        <v>Jaboticaba</v>
      </c>
      <c r="G942" s="8" t="str">
        <f>IFERROR(__xludf.DUMMYFUNCTION("""COMPUTED_VALUE"""),"Jaboticaba")</f>
        <v>Jaboticaba</v>
      </c>
      <c r="H942" s="8" t="str">
        <f>IFERROR(__xludf.DUMMYFUNCTION("""COMPUTED_VALUE"""),"Jaboticaba")</f>
        <v>Jaboticaba</v>
      </c>
      <c r="I942" s="8"/>
      <c r="J942" s="8"/>
      <c r="K942" s="8"/>
      <c r="L942" s="8"/>
      <c r="M942" s="8">
        <f>IFERROR(__xludf.DUMMYFUNCTION("""COMPUTED_VALUE"""),0.0)</f>
        <v>0</v>
      </c>
      <c r="N942" s="8">
        <f>IFERROR(__xludf.DUMMYFUNCTION("""COMPUTED_VALUE"""),0.0)</f>
        <v>0</v>
      </c>
      <c r="O942" s="8"/>
      <c r="P942" s="8"/>
      <c r="Q942" s="8"/>
      <c r="R942" s="8"/>
      <c r="S942" s="8"/>
      <c r="T942" s="8"/>
      <c r="U942" s="8"/>
      <c r="V942" s="8"/>
      <c r="W942" s="8"/>
      <c r="X942" s="8"/>
      <c r="Y942" s="8"/>
      <c r="Z942" s="8"/>
    </row>
    <row r="943">
      <c r="A943" s="8">
        <f>IFERROR(__xludf.DUMMYFUNCTION("""COMPUTED_VALUE"""),9132.0)</f>
        <v>9132</v>
      </c>
      <c r="B943" s="8" t="str">
        <f>IFERROR(__xludf.DUMMYFUNCTION("""COMPUTED_VALUE"""),"tree")</f>
        <v>tree</v>
      </c>
      <c r="C943" s="8" t="str">
        <f>IFERROR(__xludf.DUMMYFUNCTION("""COMPUTED_VALUE"""),"graft")</f>
        <v>graft</v>
      </c>
      <c r="D943" s="55" t="str">
        <f>IFERROR(__xludf.DUMMYFUNCTION("""COMPUTED_VALUE"""),"Artocarpus heterophyllus")</f>
        <v>Artocarpus heterophyllus</v>
      </c>
      <c r="E943" s="8" t="str">
        <f>IFERROR(__xludf.DUMMYFUNCTION("""COMPUTED_VALUE"""),"Orange Crush")</f>
        <v>Orange Crush</v>
      </c>
      <c r="F943" s="8" t="str">
        <f>IFERROR(__xludf.DUMMYFUNCTION("""COMPUTED_VALUE"""),"Jackfruit")</f>
        <v>Jackfruit</v>
      </c>
      <c r="G943" s="8" t="str">
        <f>IFERROR(__xludf.DUMMYFUNCTION("""COMPUTED_VALUE"""),"Jacquier")</f>
        <v>Jacquier</v>
      </c>
      <c r="H943" s="8" t="str">
        <f>IFERROR(__xludf.DUMMYFUNCTION("""COMPUTED_VALUE"""),"Jackfruit")</f>
        <v>Jackfruit</v>
      </c>
      <c r="I943" s="8"/>
      <c r="J943" s="8"/>
      <c r="K943" s="8"/>
      <c r="L943" s="8" t="str">
        <f>IFERROR(__xludf.DUMMYFUNCTION("""COMPUTED_VALUE"""),"multiple")</f>
        <v>multiple</v>
      </c>
      <c r="M943" s="8">
        <f>IFERROR(__xludf.DUMMYFUNCTION("""COMPUTED_VALUE"""),0.0)</f>
        <v>0</v>
      </c>
      <c r="N943" s="8">
        <f>IFERROR(__xludf.DUMMYFUNCTION("""COMPUTED_VALUE"""),0.0)</f>
        <v>0</v>
      </c>
      <c r="O943" s="8"/>
      <c r="P943" s="8"/>
      <c r="Q943" s="8"/>
      <c r="R943" s="8"/>
      <c r="S943" s="8"/>
      <c r="T943" s="8"/>
      <c r="U943" s="8"/>
      <c r="V943" s="8"/>
      <c r="W943" s="8"/>
      <c r="X943" s="8"/>
      <c r="Y943" s="8"/>
      <c r="Z943" s="8"/>
    </row>
    <row r="944">
      <c r="A944" s="8">
        <f>IFERROR(__xludf.DUMMYFUNCTION("""COMPUTED_VALUE"""),9133.0)</f>
        <v>9133</v>
      </c>
      <c r="B944" s="8" t="str">
        <f>IFERROR(__xludf.DUMMYFUNCTION("""COMPUTED_VALUE"""),"tree")</f>
        <v>tree</v>
      </c>
      <c r="C944" s="8" t="str">
        <f>IFERROR(__xludf.DUMMYFUNCTION("""COMPUTED_VALUE"""),"graft")</f>
        <v>graft</v>
      </c>
      <c r="D944" s="55" t="str">
        <f>IFERROR(__xludf.DUMMYFUNCTION("""COMPUTED_VALUE"""),"Artocarpus heterophyllus")</f>
        <v>Artocarpus heterophyllus</v>
      </c>
      <c r="E944" s="8" t="str">
        <f>IFERROR(__xludf.DUMMYFUNCTION("""COMPUTED_VALUE"""),"Orange Crush")</f>
        <v>Orange Crush</v>
      </c>
      <c r="F944" s="8" t="str">
        <f>IFERROR(__xludf.DUMMYFUNCTION("""COMPUTED_VALUE"""),"Jackfruit")</f>
        <v>Jackfruit</v>
      </c>
      <c r="G944" s="8" t="str">
        <f>IFERROR(__xludf.DUMMYFUNCTION("""COMPUTED_VALUE"""),"Jacquier")</f>
        <v>Jacquier</v>
      </c>
      <c r="H944" s="8" t="str">
        <f>IFERROR(__xludf.DUMMYFUNCTION("""COMPUTED_VALUE"""),"seed")</f>
        <v>seed</v>
      </c>
      <c r="I944" s="8"/>
      <c r="J944" s="8"/>
      <c r="K944" s="8"/>
      <c r="L944" s="8" t="str">
        <f>IFERROR(__xludf.DUMMYFUNCTION("""COMPUTED_VALUE"""),"multiple")</f>
        <v>multiple</v>
      </c>
      <c r="M944" s="8">
        <f>IFERROR(__xludf.DUMMYFUNCTION("""COMPUTED_VALUE"""),0.0)</f>
        <v>0</v>
      </c>
      <c r="N944" s="8">
        <f>IFERROR(__xludf.DUMMYFUNCTION("""COMPUTED_VALUE"""),0.0)</f>
        <v>0</v>
      </c>
      <c r="O944" s="8"/>
      <c r="P944" s="8"/>
      <c r="Q944" s="8"/>
      <c r="R944" s="8"/>
      <c r="S944" s="8"/>
      <c r="T944" s="8"/>
      <c r="U944" s="8"/>
      <c r="V944" s="8"/>
      <c r="W944" s="8"/>
      <c r="X944" s="8"/>
      <c r="Y944" s="8"/>
      <c r="Z944" s="8"/>
    </row>
    <row r="945">
      <c r="A945" s="8">
        <f>IFERROR(__xludf.DUMMYFUNCTION("""COMPUTED_VALUE"""),9134.0)</f>
        <v>9134</v>
      </c>
      <c r="B945" s="8" t="str">
        <f>IFERROR(__xludf.DUMMYFUNCTION("""COMPUTED_VALUE"""),"tree")</f>
        <v>tree</v>
      </c>
      <c r="C945" s="8" t="str">
        <f>IFERROR(__xludf.DUMMYFUNCTION("""COMPUTED_VALUE"""),"graft")</f>
        <v>graft</v>
      </c>
      <c r="D945" s="55" t="str">
        <f>IFERROR(__xludf.DUMMYFUNCTION("""COMPUTED_VALUE"""),"Artocarpus heterophyllus")</f>
        <v>Artocarpus heterophyllus</v>
      </c>
      <c r="E945" s="8" t="str">
        <f>IFERROR(__xludf.DUMMYFUNCTION("""COMPUTED_VALUE"""),"Small Papi")</f>
        <v>Small Papi</v>
      </c>
      <c r="F945" s="8" t="str">
        <f>IFERROR(__xludf.DUMMYFUNCTION("""COMPUTED_VALUE"""),"Jackfruit")</f>
        <v>Jackfruit</v>
      </c>
      <c r="G945" s="8" t="str">
        <f>IFERROR(__xludf.DUMMYFUNCTION("""COMPUTED_VALUE"""),"Jacquier")</f>
        <v>Jacquier</v>
      </c>
      <c r="H945" s="8" t="str">
        <f>IFERROR(__xludf.DUMMYFUNCTION("""COMPUTED_VALUE"""),"Jackfruit")</f>
        <v>Jackfruit</v>
      </c>
      <c r="I945" s="8"/>
      <c r="J945" s="8"/>
      <c r="K945" s="8"/>
      <c r="L945" s="8" t="str">
        <f>IFERROR(__xludf.DUMMYFUNCTION("""COMPUTED_VALUE"""),"multiple")</f>
        <v>multiple</v>
      </c>
      <c r="M945" s="8">
        <f>IFERROR(__xludf.DUMMYFUNCTION("""COMPUTED_VALUE"""),0.0)</f>
        <v>0</v>
      </c>
      <c r="N945" s="8">
        <f>IFERROR(__xludf.DUMMYFUNCTION("""COMPUTED_VALUE"""),0.0)</f>
        <v>0</v>
      </c>
      <c r="O945" s="8"/>
      <c r="P945" s="8"/>
      <c r="Q945" s="8"/>
      <c r="R945" s="8"/>
      <c r="S945" s="8"/>
      <c r="T945" s="8"/>
      <c r="U945" s="8"/>
      <c r="V945" s="8"/>
      <c r="W945" s="8"/>
      <c r="X945" s="8"/>
      <c r="Y945" s="8"/>
      <c r="Z945" s="8"/>
    </row>
    <row r="946">
      <c r="A946" s="8">
        <f>IFERROR(__xludf.DUMMYFUNCTION("""COMPUTED_VALUE"""),9135.0)</f>
        <v>9135</v>
      </c>
      <c r="B946" s="8" t="str">
        <f>IFERROR(__xludf.DUMMYFUNCTION("""COMPUTED_VALUE"""),"tree")</f>
        <v>tree</v>
      </c>
      <c r="C946" s="8" t="str">
        <f>IFERROR(__xludf.DUMMYFUNCTION("""COMPUTED_VALUE"""),"graft")</f>
        <v>graft</v>
      </c>
      <c r="D946" s="55" t="str">
        <f>IFERROR(__xludf.DUMMYFUNCTION("""COMPUTED_VALUE"""),"Artocarpus heterophyllus")</f>
        <v>Artocarpus heterophyllus</v>
      </c>
      <c r="E946" s="8" t="str">
        <f>IFERROR(__xludf.DUMMYFUNCTION("""COMPUTED_VALUE"""),"Small Papi")</f>
        <v>Small Papi</v>
      </c>
      <c r="F946" s="8" t="str">
        <f>IFERROR(__xludf.DUMMYFUNCTION("""COMPUTED_VALUE"""),"Jackfruit")</f>
        <v>Jackfruit</v>
      </c>
      <c r="G946" s="8" t="str">
        <f>IFERROR(__xludf.DUMMYFUNCTION("""COMPUTED_VALUE"""),"Jacquier")</f>
        <v>Jacquier</v>
      </c>
      <c r="H946" s="8" t="str">
        <f>IFERROR(__xludf.DUMMYFUNCTION("""COMPUTED_VALUE"""),"Jackfruit")</f>
        <v>Jackfruit</v>
      </c>
      <c r="I946" s="8"/>
      <c r="J946" s="8"/>
      <c r="K946" s="8"/>
      <c r="L946" s="8" t="str">
        <f>IFERROR(__xludf.DUMMYFUNCTION("""COMPUTED_VALUE"""),"multiple")</f>
        <v>multiple</v>
      </c>
      <c r="M946" s="8">
        <f>IFERROR(__xludf.DUMMYFUNCTION("""COMPUTED_VALUE"""),0.0)</f>
        <v>0</v>
      </c>
      <c r="N946" s="8">
        <f>IFERROR(__xludf.DUMMYFUNCTION("""COMPUTED_VALUE"""),0.0)</f>
        <v>0</v>
      </c>
      <c r="O946" s="8"/>
      <c r="P946" s="8"/>
      <c r="Q946" s="8"/>
      <c r="R946" s="8"/>
      <c r="S946" s="8"/>
      <c r="T946" s="8"/>
      <c r="U946" s="8"/>
      <c r="V946" s="8"/>
      <c r="W946" s="8"/>
      <c r="X946" s="8"/>
      <c r="Y946" s="8"/>
      <c r="Z946" s="8"/>
    </row>
    <row r="947">
      <c r="A947" s="8">
        <f>IFERROR(__xludf.DUMMYFUNCTION("""COMPUTED_VALUE"""),9138.0)</f>
        <v>9138</v>
      </c>
      <c r="B947" s="8" t="str">
        <f>IFERROR(__xludf.DUMMYFUNCTION("""COMPUTED_VALUE"""),"tree")</f>
        <v>tree</v>
      </c>
      <c r="C947" s="8" t="str">
        <f>IFERROR(__xludf.DUMMYFUNCTION("""COMPUTED_VALUE"""),"air_layer")</f>
        <v>air_layer</v>
      </c>
      <c r="D947" s="55" t="str">
        <f>IFERROR(__xludf.DUMMYFUNCTION("""COMPUTED_VALUE"""),"Dimocarpus longan")</f>
        <v>Dimocarpus longan</v>
      </c>
      <c r="E947" s="8" t="str">
        <f>IFERROR(__xludf.DUMMYFUNCTION("""COMPUTED_VALUE"""),"Biew Kiew")</f>
        <v>Biew Kiew</v>
      </c>
      <c r="F947" s="8" t="str">
        <f>IFERROR(__xludf.DUMMYFUNCTION("""COMPUTED_VALUE"""),"Longan")</f>
        <v>Longan</v>
      </c>
      <c r="G947" s="8" t="str">
        <f>IFERROR(__xludf.DUMMYFUNCTION("""COMPUTED_VALUE"""),"Longane")</f>
        <v>Longane</v>
      </c>
      <c r="H947" s="8" t="str">
        <f>IFERROR(__xludf.DUMMYFUNCTION("""COMPUTED_VALUE"""),"seed")</f>
        <v>seed</v>
      </c>
      <c r="I947" s="8"/>
      <c r="J947" s="8"/>
      <c r="K947" s="8"/>
      <c r="L947" s="8">
        <f>IFERROR(__xludf.DUMMYFUNCTION("""COMPUTED_VALUE"""),1.0)</f>
        <v>1</v>
      </c>
      <c r="M947" s="8">
        <f>IFERROR(__xludf.DUMMYFUNCTION("""COMPUTED_VALUE"""),0.0)</f>
        <v>0</v>
      </c>
      <c r="N947" s="8">
        <f>IFERROR(__xludf.DUMMYFUNCTION("""COMPUTED_VALUE"""),1.0)</f>
        <v>1</v>
      </c>
      <c r="O947" s="8"/>
      <c r="P947" s="8"/>
      <c r="Q947" s="8"/>
      <c r="R947" s="8"/>
      <c r="S947" s="8"/>
      <c r="T947" s="8"/>
      <c r="U947" s="8"/>
      <c r="V947" s="8"/>
      <c r="W947" s="8"/>
      <c r="X947" s="8"/>
      <c r="Y947" s="8"/>
      <c r="Z947" s="8"/>
    </row>
    <row r="948">
      <c r="A948" s="8">
        <f>IFERROR(__xludf.DUMMYFUNCTION("""COMPUTED_VALUE"""),9139.0)</f>
        <v>9139</v>
      </c>
      <c r="B948" s="8" t="str">
        <f>IFERROR(__xludf.DUMMYFUNCTION("""COMPUTED_VALUE"""),"tree")</f>
        <v>tree</v>
      </c>
      <c r="C948" s="8" t="str">
        <f>IFERROR(__xludf.DUMMYFUNCTION("""COMPUTED_VALUE"""),"graft")</f>
        <v>graft</v>
      </c>
      <c r="D948" s="55" t="str">
        <f>IFERROR(__xludf.DUMMYFUNCTION("""COMPUTED_VALUE"""),"Mammea americana")</f>
        <v>Mammea americana</v>
      </c>
      <c r="E948" s="8" t="str">
        <f>IFERROR(__xludf.DUMMYFUNCTION("""COMPUTED_VALUE"""),"Redlands grafted")</f>
        <v>Redlands grafted</v>
      </c>
      <c r="F948" s="8" t="str">
        <f>IFERROR(__xludf.DUMMYFUNCTION("""COMPUTED_VALUE"""),"Mamey Apple")</f>
        <v>Mamey Apple</v>
      </c>
      <c r="G948" s="8" t="str">
        <f>IFERROR(__xludf.DUMMYFUNCTION("""COMPUTED_VALUE"""),"Abricot tropical/Pomme Mamey")</f>
        <v>Abricot tropical/Pomme Mamey</v>
      </c>
      <c r="H948" s="8" t="str">
        <f>IFERROR(__xludf.DUMMYFUNCTION("""COMPUTED_VALUE"""),"graft")</f>
        <v>graft</v>
      </c>
      <c r="I948" s="8" t="str">
        <f>IFERROR(__xludf.DUMMYFUNCTION("""COMPUTED_VALUE"""),"106")</f>
        <v>106</v>
      </c>
      <c r="J948" s="8"/>
      <c r="K948" s="8"/>
      <c r="L948" s="8">
        <f>IFERROR(__xludf.DUMMYFUNCTION("""COMPUTED_VALUE"""),1.0)</f>
        <v>1</v>
      </c>
      <c r="M948" s="8">
        <f>IFERROR(__xludf.DUMMYFUNCTION("""COMPUTED_VALUE"""),0.0)</f>
        <v>0</v>
      </c>
      <c r="N948" s="8">
        <f>IFERROR(__xludf.DUMMYFUNCTION("""COMPUTED_VALUE"""),0.0)</f>
        <v>0</v>
      </c>
      <c r="O948" s="8"/>
      <c r="P948" s="8"/>
      <c r="Q948" s="8"/>
      <c r="R948" s="8"/>
      <c r="S948" s="8"/>
      <c r="T948" s="8"/>
      <c r="U948" s="8"/>
      <c r="V948" s="8"/>
      <c r="W948" s="8"/>
      <c r="X948" s="8"/>
      <c r="Y948" s="8"/>
      <c r="Z948" s="8"/>
    </row>
    <row r="949">
      <c r="A949" s="8">
        <f>IFERROR(__xludf.DUMMYFUNCTION("""COMPUTED_VALUE"""),9141.0)</f>
        <v>9141</v>
      </c>
      <c r="B949" s="8" t="str">
        <f>IFERROR(__xludf.DUMMYFUNCTION("""COMPUTED_VALUE"""),"tree")</f>
        <v>tree</v>
      </c>
      <c r="C949" s="8" t="str">
        <f>IFERROR(__xludf.DUMMYFUNCTION("""COMPUTED_VALUE"""),"graft")</f>
        <v>graft</v>
      </c>
      <c r="D949" s="55" t="str">
        <f>IFERROR(__xludf.DUMMYFUNCTION("""COMPUTED_VALUE"""),"Mangifera indica")</f>
        <v>Mangifera indica</v>
      </c>
      <c r="E949" s="8" t="str">
        <f>IFERROR(__xludf.DUMMYFUNCTION("""COMPUTED_VALUE"""),"Kiew  Yao")</f>
        <v>Kiew  Yao</v>
      </c>
      <c r="F949" s="8" t="str">
        <f>IFERROR(__xludf.DUMMYFUNCTION("""COMPUTED_VALUE"""),"Mango")</f>
        <v>Mango</v>
      </c>
      <c r="G949" s="8" t="str">
        <f>IFERROR(__xludf.DUMMYFUNCTION("""COMPUTED_VALUE"""),"mangue")</f>
        <v>mangue</v>
      </c>
      <c r="H949" s="8" t="str">
        <f>IFERROR(__xludf.DUMMYFUNCTION("""COMPUTED_VALUE"""),"air_layer")</f>
        <v>air_layer</v>
      </c>
      <c r="I949" s="8"/>
      <c r="J949" s="8"/>
      <c r="K949" s="8"/>
      <c r="L949" s="8">
        <f>IFERROR(__xludf.DUMMYFUNCTION("""COMPUTED_VALUE"""),1.0)</f>
        <v>1</v>
      </c>
      <c r="M949" s="8">
        <f>IFERROR(__xludf.DUMMYFUNCTION("""COMPUTED_VALUE"""),1.0)</f>
        <v>1</v>
      </c>
      <c r="N949" s="8">
        <f>IFERROR(__xludf.DUMMYFUNCTION("""COMPUTED_VALUE"""),1.0)</f>
        <v>1</v>
      </c>
      <c r="O949" s="8"/>
      <c r="P949" s="8"/>
      <c r="Q949" s="8"/>
      <c r="R949" s="8"/>
      <c r="S949" s="8"/>
      <c r="T949" s="8"/>
      <c r="U949" s="8"/>
      <c r="V949" s="8"/>
      <c r="W949" s="8"/>
      <c r="X949" s="8"/>
      <c r="Y949" s="8"/>
      <c r="Z949" s="8"/>
    </row>
    <row r="950">
      <c r="A950" s="8">
        <f>IFERROR(__xludf.DUMMYFUNCTION("""COMPUTED_VALUE"""),9153.0)</f>
        <v>9153</v>
      </c>
      <c r="B950" s="8" t="str">
        <f>IFERROR(__xludf.DUMMYFUNCTION("""COMPUTED_VALUE"""),"perennial")</f>
        <v>perennial</v>
      </c>
      <c r="C950" s="8" t="str">
        <f>IFERROR(__xludf.DUMMYFUNCTION("""COMPUTED_VALUE"""),"cutting")</f>
        <v>cutting</v>
      </c>
      <c r="D950" s="8" t="str">
        <f>IFERROR(__xludf.DUMMYFUNCTION("""COMPUTED_VALUE"""),"Gynura procumbens")</f>
        <v>Gynura procumbens</v>
      </c>
      <c r="E950" s="8"/>
      <c r="F950" s="8" t="str">
        <f>IFERROR(__xludf.DUMMYFUNCTION("""COMPUTED_VALUE"""),"Longevity Spinach")</f>
        <v>Longevity Spinach</v>
      </c>
      <c r="G950" s="8" t="str">
        <f>IFERROR(__xludf.DUMMYFUNCTION("""COMPUTED_VALUE"""),"Épinards de longévité")</f>
        <v>Épinards de longévité</v>
      </c>
      <c r="H950" s="8" t="str">
        <f>IFERROR(__xludf.DUMMYFUNCTION("""COMPUTED_VALUE"""),"air_layer")</f>
        <v>air_layer</v>
      </c>
      <c r="I950" s="8"/>
      <c r="J950" s="8"/>
      <c r="K950" s="8">
        <f>IFERROR(__xludf.DUMMYFUNCTION("""COMPUTED_VALUE"""),9153.0)</f>
        <v>9153</v>
      </c>
      <c r="L950" s="8"/>
      <c r="M950" s="8"/>
      <c r="N950" s="8"/>
      <c r="O950" s="8"/>
      <c r="P950" s="8"/>
      <c r="Q950" s="8"/>
      <c r="R950" s="8"/>
      <c r="S950" s="8"/>
      <c r="T950" s="8"/>
      <c r="U950" s="8"/>
      <c r="V950" s="8"/>
      <c r="W950" s="8"/>
      <c r="X950" s="8"/>
      <c r="Y950" s="8"/>
      <c r="Z950" s="8"/>
    </row>
    <row r="951">
      <c r="A951" s="8">
        <f>IFERROR(__xludf.DUMMYFUNCTION("""COMPUTED_VALUE"""),9154.0)</f>
        <v>9154</v>
      </c>
      <c r="B951" s="8" t="str">
        <f>IFERROR(__xludf.DUMMYFUNCTION("""COMPUTED_VALUE"""),"perennial")</f>
        <v>perennial</v>
      </c>
      <c r="C951" s="8" t="str">
        <f>IFERROR(__xludf.DUMMYFUNCTION("""COMPUTED_VALUE"""),"cutting")</f>
        <v>cutting</v>
      </c>
      <c r="D951" s="8" t="str">
        <f>IFERROR(__xludf.DUMMYFUNCTION("""COMPUTED_VALUE"""),"Gynura procumbens")</f>
        <v>Gynura procumbens</v>
      </c>
      <c r="E951" s="8"/>
      <c r="F951" s="8" t="str">
        <f>IFERROR(__xludf.DUMMYFUNCTION("""COMPUTED_VALUE"""),"Longevity Spinach")</f>
        <v>Longevity Spinach</v>
      </c>
      <c r="G951" s="8" t="str">
        <f>IFERROR(__xludf.DUMMYFUNCTION("""COMPUTED_VALUE"""),"Épinards de longévité")</f>
        <v>Épinards de longévité</v>
      </c>
      <c r="H951" s="8" t="str">
        <f>IFERROR(__xludf.DUMMYFUNCTION("""COMPUTED_VALUE"""),"seed")</f>
        <v>seed</v>
      </c>
      <c r="I951" s="8"/>
      <c r="J951" s="8"/>
      <c r="K951" s="8">
        <f>IFERROR(__xludf.DUMMYFUNCTION("""COMPUTED_VALUE"""),9154.0)</f>
        <v>9154</v>
      </c>
      <c r="L951" s="8"/>
      <c r="M951" s="8"/>
      <c r="N951" s="8"/>
      <c r="O951" s="8"/>
      <c r="P951" s="8"/>
      <c r="Q951" s="8"/>
      <c r="R951" s="8"/>
      <c r="S951" s="8"/>
      <c r="T951" s="8"/>
      <c r="U951" s="8"/>
      <c r="V951" s="8"/>
      <c r="W951" s="8"/>
      <c r="X951" s="8"/>
      <c r="Y951" s="8"/>
      <c r="Z951" s="8"/>
    </row>
    <row r="952">
      <c r="A952" s="8">
        <f>IFERROR(__xludf.DUMMYFUNCTION("""COMPUTED_VALUE"""),9174.0)</f>
        <v>9174</v>
      </c>
      <c r="B952" s="8" t="str">
        <f>IFERROR(__xludf.DUMMYFUNCTION("""COMPUTED_VALUE"""),"tree")</f>
        <v>tree</v>
      </c>
      <c r="C952" s="8" t="str">
        <f>IFERROR(__xludf.DUMMYFUNCTION("""COMPUTED_VALUE"""),"graft")</f>
        <v>graft</v>
      </c>
      <c r="D952" s="55" t="str">
        <f>IFERROR(__xludf.DUMMYFUNCTION("""COMPUTED_VALUE"""),"Manilkara zapota")</f>
        <v>Manilkara zapota</v>
      </c>
      <c r="E952" s="8" t="str">
        <f>IFERROR(__xludf.DUMMYFUNCTION("""COMPUTED_VALUE"""),"Ox")</f>
        <v>Ox</v>
      </c>
      <c r="F952" s="8" t="str">
        <f>IFERROR(__xludf.DUMMYFUNCTION("""COMPUTED_VALUE"""),"Sapodilla")</f>
        <v>Sapodilla</v>
      </c>
      <c r="G952" s="8" t="str">
        <f>IFERROR(__xludf.DUMMYFUNCTION("""COMPUTED_VALUE"""),"Sapotille")</f>
        <v>Sapotille</v>
      </c>
      <c r="H952" s="8" t="str">
        <f>IFERROR(__xludf.DUMMYFUNCTION("""COMPUTED_VALUE"""),"Sapodilla")</f>
        <v>Sapodilla</v>
      </c>
      <c r="I952" s="8"/>
      <c r="J952" s="8"/>
      <c r="K952" s="8"/>
      <c r="L952" s="8" t="str">
        <f>IFERROR(__xludf.DUMMYFUNCTION("""COMPUTED_VALUE"""),"multiple")</f>
        <v>multiple</v>
      </c>
      <c r="M952" s="8">
        <f>IFERROR(__xludf.DUMMYFUNCTION("""COMPUTED_VALUE"""),0.0)</f>
        <v>0</v>
      </c>
      <c r="N952" s="8">
        <f>IFERROR(__xludf.DUMMYFUNCTION("""COMPUTED_VALUE"""),1.0)</f>
        <v>1</v>
      </c>
      <c r="O952" s="8"/>
      <c r="P952" s="8"/>
      <c r="Q952" s="8"/>
      <c r="R952" s="8"/>
      <c r="S952" s="8"/>
      <c r="T952" s="8"/>
      <c r="U952" s="8"/>
      <c r="V952" s="8"/>
      <c r="W952" s="8"/>
      <c r="X952" s="8"/>
      <c r="Y952" s="8"/>
      <c r="Z952" s="8"/>
    </row>
    <row r="953">
      <c r="A953" s="8">
        <f>IFERROR(__xludf.DUMMYFUNCTION("""COMPUTED_VALUE"""),9180.0)</f>
        <v>9180</v>
      </c>
      <c r="B953" s="8" t="str">
        <f>IFERROR(__xludf.DUMMYFUNCTION("""COMPUTED_VALUE"""),"perennial")</f>
        <v>perennial</v>
      </c>
      <c r="C953" s="8" t="str">
        <f>IFERROR(__xludf.DUMMYFUNCTION("""COMPUTED_VALUE"""),"air_layer")</f>
        <v>air_layer</v>
      </c>
      <c r="D953" s="55" t="str">
        <f>IFERROR(__xludf.DUMMYFUNCTION("""COMPUTED_VALUE"""),"Eugenia dombeyi")</f>
        <v>Eugenia dombeyi</v>
      </c>
      <c r="E953" s="8"/>
      <c r="F953" s="8" t="str">
        <f>IFERROR(__xludf.DUMMYFUNCTION("""COMPUTED_VALUE"""),"Grumichama Cherry")</f>
        <v>Grumichama Cherry</v>
      </c>
      <c r="G953" s="8" t="str">
        <f>IFERROR(__xludf.DUMMYFUNCTION("""COMPUTED_VALUE"""),"Cerise Grumichama (dombeyi)")</f>
        <v>Cerise Grumichama (dombeyi)</v>
      </c>
      <c r="H953" s="8" t="str">
        <f>IFERROR(__xludf.DUMMYFUNCTION("""COMPUTED_VALUE"""),"Grumichama Cherry (dombeyi)")</f>
        <v>Grumichama Cherry (dombeyi)</v>
      </c>
      <c r="I953" s="8"/>
      <c r="J953" s="8"/>
      <c r="K953" s="8"/>
      <c r="L953" s="8">
        <f>IFERROR(__xludf.DUMMYFUNCTION("""COMPUTED_VALUE"""),1.0)</f>
        <v>1</v>
      </c>
      <c r="M953" s="8"/>
      <c r="N953" s="8"/>
      <c r="O953" s="8"/>
      <c r="P953" s="8"/>
      <c r="Q953" s="8"/>
      <c r="R953" s="8"/>
      <c r="S953" s="8"/>
      <c r="T953" s="8"/>
      <c r="U953" s="8"/>
      <c r="V953" s="8"/>
      <c r="W953" s="8"/>
      <c r="X953" s="8"/>
      <c r="Y953" s="8"/>
      <c r="Z953" s="8"/>
    </row>
    <row r="954">
      <c r="A954" s="8">
        <f>IFERROR(__xludf.DUMMYFUNCTION("""COMPUTED_VALUE"""),9181.0)</f>
        <v>9181</v>
      </c>
      <c r="B954" s="8" t="str">
        <f>IFERROR(__xludf.DUMMYFUNCTION("""COMPUTED_VALUE"""),"perennial")</f>
        <v>perennial</v>
      </c>
      <c r="C954" s="8" t="str">
        <f>IFERROR(__xludf.DUMMYFUNCTION("""COMPUTED_VALUE"""),"air_layer")</f>
        <v>air_layer</v>
      </c>
      <c r="D954" s="55" t="str">
        <f>IFERROR(__xludf.DUMMYFUNCTION("""COMPUTED_VALUE"""),"Eugenia involucrata")</f>
        <v>Eugenia involucrata</v>
      </c>
      <c r="E954" s="8"/>
      <c r="F954" s="8" t="str">
        <f>IFERROR(__xludf.DUMMYFUNCTION("""COMPUTED_VALUE"""),"Cherry of the Rio Grande")</f>
        <v>Cherry of the Rio Grande</v>
      </c>
      <c r="G954" s="8" t="str">
        <f>IFERROR(__xludf.DUMMYFUNCTION("""COMPUTED_VALUE"""),"Cerise du Rio Grande")</f>
        <v>Cerise du Rio Grande</v>
      </c>
      <c r="H954" s="8" t="str">
        <f>IFERROR(__xludf.DUMMYFUNCTION("""COMPUTED_VALUE"""),"Cherry of the Rio Grande")</f>
        <v>Cherry of the Rio Grande</v>
      </c>
      <c r="I954" s="8"/>
      <c r="J954" s="8"/>
      <c r="K954" s="8"/>
      <c r="L954" s="8">
        <f>IFERROR(__xludf.DUMMYFUNCTION("""COMPUTED_VALUE"""),1.0)</f>
        <v>1</v>
      </c>
      <c r="M954" s="8"/>
      <c r="N954" s="8"/>
      <c r="O954" s="8"/>
      <c r="P954" s="8"/>
      <c r="Q954" s="8"/>
      <c r="R954" s="8"/>
      <c r="S954" s="8"/>
      <c r="T954" s="8"/>
      <c r="U954" s="8"/>
      <c r="V954" s="8"/>
      <c r="W954" s="8"/>
      <c r="X954" s="8"/>
      <c r="Y954" s="8"/>
      <c r="Z954" s="8"/>
    </row>
    <row r="955">
      <c r="A955" s="8">
        <f>IFERROR(__xludf.DUMMYFUNCTION("""COMPUTED_VALUE"""),9182.0)</f>
        <v>9182</v>
      </c>
      <c r="B955" s="8" t="str">
        <f>IFERROR(__xludf.DUMMYFUNCTION("""COMPUTED_VALUE"""),"perennial")</f>
        <v>perennial</v>
      </c>
      <c r="C955" s="8" t="str">
        <f>IFERROR(__xludf.DUMMYFUNCTION("""COMPUTED_VALUE"""),"air_layer")</f>
        <v>air_layer</v>
      </c>
      <c r="D955" s="55" t="str">
        <f>IFERROR(__xludf.DUMMYFUNCTION("""COMPUTED_VALUE"""),"Eugenia involucrata")</f>
        <v>Eugenia involucrata</v>
      </c>
      <c r="E955" s="8"/>
      <c r="F955" s="8" t="str">
        <f>IFERROR(__xludf.DUMMYFUNCTION("""COMPUTED_VALUE"""),"Cherry of the Rio Grande")</f>
        <v>Cherry of the Rio Grande</v>
      </c>
      <c r="G955" s="8" t="str">
        <f>IFERROR(__xludf.DUMMYFUNCTION("""COMPUTED_VALUE"""),"Cerise du Rio Grande")</f>
        <v>Cerise du Rio Grande</v>
      </c>
      <c r="H955" s="8" t="str">
        <f>IFERROR(__xludf.DUMMYFUNCTION("""COMPUTED_VALUE"""),"Cherry of the Rio Grande")</f>
        <v>Cherry of the Rio Grande</v>
      </c>
      <c r="I955" s="8"/>
      <c r="J955" s="8"/>
      <c r="K955" s="8"/>
      <c r="L955" s="8">
        <f>IFERROR(__xludf.DUMMYFUNCTION("""COMPUTED_VALUE"""),1.0)</f>
        <v>1</v>
      </c>
      <c r="M955" s="8"/>
      <c r="N955" s="8"/>
      <c r="O955" s="8"/>
      <c r="P955" s="8"/>
      <c r="Q955" s="8"/>
      <c r="R955" s="8"/>
      <c r="S955" s="8"/>
      <c r="T955" s="8"/>
      <c r="U955" s="8"/>
      <c r="V955" s="8"/>
      <c r="W955" s="8"/>
      <c r="X955" s="8"/>
      <c r="Y955" s="8"/>
      <c r="Z955" s="8"/>
    </row>
    <row r="956">
      <c r="A956" s="8">
        <f>IFERROR(__xludf.DUMMYFUNCTION("""COMPUTED_VALUE"""),9183.0)</f>
        <v>9183</v>
      </c>
      <c r="B956" s="8" t="str">
        <f>IFERROR(__xludf.DUMMYFUNCTION("""COMPUTED_VALUE"""),"perennial")</f>
        <v>perennial</v>
      </c>
      <c r="C956" s="8" t="str">
        <f>IFERROR(__xludf.DUMMYFUNCTION("""COMPUTED_VALUE"""),"air_layer")</f>
        <v>air_layer</v>
      </c>
      <c r="D956" s="8" t="str">
        <f>IFERROR(__xludf.DUMMYFUNCTION("""COMPUTED_VALUE"""),"Eugenia selloi ")</f>
        <v>Eugenia selloi </v>
      </c>
      <c r="E956" s="8"/>
      <c r="F956" s="55" t="str">
        <f>IFERROR(__xludf.DUMMYFUNCTION("""COMPUTED_VALUE"""),"Pitangatuba ")</f>
        <v>Pitangatuba </v>
      </c>
      <c r="G956" s="8" t="str">
        <f>IFERROR(__xludf.DUMMYFUNCTION("""COMPUTED_VALUE"""),"Pitangatuba")</f>
        <v>Pitangatuba</v>
      </c>
      <c r="H956" s="8" t="str">
        <f>IFERROR(__xludf.DUMMYFUNCTION("""COMPUTED_VALUE"""),"Pitangatuba")</f>
        <v>Pitangatuba</v>
      </c>
      <c r="I956" s="8"/>
      <c r="J956" s="8"/>
      <c r="K956" s="8"/>
      <c r="L956" s="8">
        <f>IFERROR(__xludf.DUMMYFUNCTION("""COMPUTED_VALUE"""),1.0)</f>
        <v>1</v>
      </c>
      <c r="M956" s="8"/>
      <c r="N956" s="8"/>
      <c r="O956" s="8"/>
      <c r="P956" s="8"/>
      <c r="Q956" s="8"/>
      <c r="R956" s="8"/>
      <c r="S956" s="8"/>
      <c r="T956" s="8"/>
      <c r="U956" s="8"/>
      <c r="V956" s="8"/>
      <c r="W956" s="8"/>
      <c r="X956" s="8"/>
      <c r="Y956" s="8"/>
      <c r="Z956" s="8"/>
    </row>
    <row r="957">
      <c r="A957" s="8">
        <f>IFERROR(__xludf.DUMMYFUNCTION("""COMPUTED_VALUE"""),9185.0)</f>
        <v>9185</v>
      </c>
      <c r="B957" s="8" t="str">
        <f>IFERROR(__xludf.DUMMYFUNCTION("""COMPUTED_VALUE"""),"perennial")</f>
        <v>perennial</v>
      </c>
      <c r="C957" s="8" t="str">
        <f>IFERROR(__xludf.DUMMYFUNCTION("""COMPUTED_VALUE"""),"cutting")</f>
        <v>cutting</v>
      </c>
      <c r="D957" s="55" t="str">
        <f>IFERROR(__xludf.DUMMYFUNCTION("""COMPUTED_VALUE"""),"Malpighia emarginata")</f>
        <v>Malpighia emarginata</v>
      </c>
      <c r="E957" s="8"/>
      <c r="F957" s="8" t="str">
        <f>IFERROR(__xludf.DUMMYFUNCTION("""COMPUTED_VALUE"""),"Barbados Cherry")</f>
        <v>Barbados Cherry</v>
      </c>
      <c r="G957" s="8" t="str">
        <f>IFERROR(__xludf.DUMMYFUNCTION("""COMPUTED_VALUE"""),"Cerise de la Barbade")</f>
        <v>Cerise de la Barbade</v>
      </c>
      <c r="H957" s="8" t="str">
        <f>IFERROR(__xludf.DUMMYFUNCTION("""COMPUTED_VALUE"""),"Barbados Cherry")</f>
        <v>Barbados Cherry</v>
      </c>
      <c r="I957" s="8"/>
      <c r="J957" s="8"/>
      <c r="K957" s="8"/>
      <c r="L957" s="8">
        <f>IFERROR(__xludf.DUMMYFUNCTION("""COMPUTED_VALUE"""),1.0)</f>
        <v>1</v>
      </c>
      <c r="M957" s="8"/>
      <c r="N957" s="8"/>
      <c r="O957" s="8"/>
      <c r="P957" s="8"/>
      <c r="Q957" s="8"/>
      <c r="R957" s="8"/>
      <c r="S957" s="8"/>
      <c r="T957" s="8"/>
      <c r="U957" s="8"/>
      <c r="V957" s="8"/>
      <c r="W957" s="8"/>
      <c r="X957" s="8"/>
      <c r="Y957" s="8"/>
      <c r="Z957" s="8"/>
    </row>
    <row r="958">
      <c r="A958" s="8">
        <f>IFERROR(__xludf.DUMMYFUNCTION("""COMPUTED_VALUE"""),9188.0)</f>
        <v>9188</v>
      </c>
      <c r="B958" s="8" t="str">
        <f>IFERROR(__xludf.DUMMYFUNCTION("""COMPUTED_VALUE"""),"perennial")</f>
        <v>perennial</v>
      </c>
      <c r="C958" s="8" t="str">
        <f>IFERROR(__xludf.DUMMYFUNCTION("""COMPUTED_VALUE"""),"cutting")</f>
        <v>cutting</v>
      </c>
      <c r="D958" s="55" t="str">
        <f>IFERROR(__xludf.DUMMYFUNCTION("""COMPUTED_VALUE"""),"Vanilla planifolia")</f>
        <v>Vanilla planifolia</v>
      </c>
      <c r="E958" s="8"/>
      <c r="F958" s="8" t="str">
        <f>IFERROR(__xludf.DUMMYFUNCTION("""COMPUTED_VALUE"""),"Vanilla")</f>
        <v>Vanilla</v>
      </c>
      <c r="G958" s="8" t="str">
        <f>IFERROR(__xludf.DUMMYFUNCTION("""COMPUTED_VALUE"""),"Vanille")</f>
        <v>Vanille</v>
      </c>
      <c r="H958" s="8" t="str">
        <f>IFERROR(__xludf.DUMMYFUNCTION("""COMPUTED_VALUE"""),"seed")</f>
        <v>seed</v>
      </c>
      <c r="I958" s="8"/>
      <c r="J958" s="8"/>
      <c r="K958" s="8"/>
      <c r="L958" s="8"/>
      <c r="M958" s="8"/>
      <c r="N958" s="8"/>
      <c r="O958" s="8"/>
      <c r="P958" s="8"/>
      <c r="Q958" s="8"/>
      <c r="R958" s="8"/>
      <c r="S958" s="8"/>
      <c r="T958" s="8"/>
      <c r="U958" s="8"/>
      <c r="V958" s="8"/>
      <c r="W958" s="8"/>
      <c r="X958" s="8"/>
      <c r="Y958" s="8"/>
      <c r="Z958" s="8"/>
    </row>
    <row r="959">
      <c r="A959" s="8">
        <f>IFERROR(__xludf.DUMMYFUNCTION("""COMPUTED_VALUE"""),9189.0)</f>
        <v>9189</v>
      </c>
      <c r="B959" s="8" t="str">
        <f>IFERROR(__xludf.DUMMYFUNCTION("""COMPUTED_VALUE"""),"perennial")</f>
        <v>perennial</v>
      </c>
      <c r="C959" s="8" t="str">
        <f>IFERROR(__xludf.DUMMYFUNCTION("""COMPUTED_VALUE"""),"cutting")</f>
        <v>cutting</v>
      </c>
      <c r="D959" s="55" t="str">
        <f>IFERROR(__xludf.DUMMYFUNCTION("""COMPUTED_VALUE"""),"Vanilla planifolia")</f>
        <v>Vanilla planifolia</v>
      </c>
      <c r="E959" s="8" t="str">
        <f>IFERROR(__xludf.DUMMYFUNCTION("""COMPUTED_VALUE"""),"Painter")</f>
        <v>Painter</v>
      </c>
      <c r="F959" s="8" t="str">
        <f>IFERROR(__xludf.DUMMYFUNCTION("""COMPUTED_VALUE"""),"Vanilla")</f>
        <v>Vanilla</v>
      </c>
      <c r="G959" s="8" t="str">
        <f>IFERROR(__xludf.DUMMYFUNCTION("""COMPUTED_VALUE"""),"Vanille")</f>
        <v>Vanille</v>
      </c>
      <c r="H959" s="8" t="str">
        <f>IFERROR(__xludf.DUMMYFUNCTION("""COMPUTED_VALUE"""),"Vanilla")</f>
        <v>Vanilla</v>
      </c>
      <c r="I959" s="8"/>
      <c r="J959" s="8"/>
      <c r="K959" s="8"/>
      <c r="L959" s="8"/>
      <c r="M959" s="8">
        <f>IFERROR(__xludf.DUMMYFUNCTION("""COMPUTED_VALUE"""),0.0)</f>
        <v>0</v>
      </c>
      <c r="N959" s="8">
        <f>IFERROR(__xludf.DUMMYFUNCTION("""COMPUTED_VALUE"""),2.0)</f>
        <v>2</v>
      </c>
      <c r="O959" s="8"/>
      <c r="P959" s="8"/>
      <c r="Q959" s="8"/>
      <c r="R959" s="8"/>
      <c r="S959" s="8"/>
      <c r="T959" s="8"/>
      <c r="U959" s="8"/>
      <c r="V959" s="8"/>
      <c r="W959" s="8"/>
      <c r="X959" s="8"/>
      <c r="Y959" s="8"/>
      <c r="Z959" s="8"/>
    </row>
    <row r="960">
      <c r="A960" s="8">
        <f>IFERROR(__xludf.DUMMYFUNCTION("""COMPUTED_VALUE"""),9190.0)</f>
        <v>9190</v>
      </c>
      <c r="B960" s="8" t="str">
        <f>IFERROR(__xludf.DUMMYFUNCTION("""COMPUTED_VALUE"""),"perennial")</f>
        <v>perennial</v>
      </c>
      <c r="C960" s="8" t="str">
        <f>IFERROR(__xludf.DUMMYFUNCTION("""COMPUTED_VALUE"""),"cutting")</f>
        <v>cutting</v>
      </c>
      <c r="D960" s="55" t="str">
        <f>IFERROR(__xludf.DUMMYFUNCTION("""COMPUTED_VALUE"""),"Vanilla planifolia")</f>
        <v>Vanilla planifolia</v>
      </c>
      <c r="E960" s="8"/>
      <c r="F960" s="8" t="str">
        <f>IFERROR(__xludf.DUMMYFUNCTION("""COMPUTED_VALUE"""),"Vanilla")</f>
        <v>Vanilla</v>
      </c>
      <c r="G960" s="8" t="str">
        <f>IFERROR(__xludf.DUMMYFUNCTION("""COMPUTED_VALUE"""),"Vanille")</f>
        <v>Vanille</v>
      </c>
      <c r="H960" s="8" t="str">
        <f>IFERROR(__xludf.DUMMYFUNCTION("""COMPUTED_VALUE"""),"Vanilla")</f>
        <v>Vanilla</v>
      </c>
      <c r="I960" s="8"/>
      <c r="J960" s="8"/>
      <c r="K960" s="8"/>
      <c r="L960" s="8"/>
      <c r="M960" s="8"/>
      <c r="N960" s="8"/>
      <c r="O960" s="8"/>
      <c r="P960" s="8"/>
      <c r="Q960" s="8"/>
      <c r="R960" s="8"/>
      <c r="S960" s="8"/>
      <c r="T960" s="8"/>
      <c r="U960" s="8"/>
      <c r="V960" s="8"/>
      <c r="W960" s="8"/>
      <c r="X960" s="8"/>
      <c r="Y960" s="8"/>
      <c r="Z960" s="8"/>
    </row>
    <row r="961">
      <c r="A961" s="8">
        <f>IFERROR(__xludf.DUMMYFUNCTION("""COMPUTED_VALUE"""),9191.0)</f>
        <v>9191</v>
      </c>
      <c r="B961" s="8" t="str">
        <f>IFERROR(__xludf.DUMMYFUNCTION("""COMPUTED_VALUE"""),"perennial")</f>
        <v>perennial</v>
      </c>
      <c r="C961" s="8" t="str">
        <f>IFERROR(__xludf.DUMMYFUNCTION("""COMPUTED_VALUE"""),"cutting")</f>
        <v>cutting</v>
      </c>
      <c r="D961" s="55" t="str">
        <f>IFERROR(__xludf.DUMMYFUNCTION("""COMPUTED_VALUE"""),"Vanilla planifolia")</f>
        <v>Vanilla planifolia</v>
      </c>
      <c r="E961" s="8" t="str">
        <f>IFERROR(__xludf.DUMMYFUNCTION("""COMPUTED_VALUE"""),"Painter")</f>
        <v>Painter</v>
      </c>
      <c r="F961" s="8" t="str">
        <f>IFERROR(__xludf.DUMMYFUNCTION("""COMPUTED_VALUE"""),"Vanilla")</f>
        <v>Vanilla</v>
      </c>
      <c r="G961" s="8" t="str">
        <f>IFERROR(__xludf.DUMMYFUNCTION("""COMPUTED_VALUE"""),"Vanille")</f>
        <v>Vanille</v>
      </c>
      <c r="H961" s="8" t="str">
        <f>IFERROR(__xludf.DUMMYFUNCTION("""COMPUTED_VALUE"""),"Vanilla")</f>
        <v>Vanilla</v>
      </c>
      <c r="I961" s="8"/>
      <c r="J961" s="8"/>
      <c r="K961" s="8"/>
      <c r="L961" s="8"/>
      <c r="M961" s="8">
        <f>IFERROR(__xludf.DUMMYFUNCTION("""COMPUTED_VALUE"""),0.0)</f>
        <v>0</v>
      </c>
      <c r="N961" s="8">
        <f>IFERROR(__xludf.DUMMYFUNCTION("""COMPUTED_VALUE"""),2.0)</f>
        <v>2</v>
      </c>
      <c r="O961" s="8"/>
      <c r="P961" s="8"/>
      <c r="Q961" s="8"/>
      <c r="R961" s="8"/>
      <c r="S961" s="8"/>
      <c r="T961" s="8"/>
      <c r="U961" s="8"/>
      <c r="V961" s="8"/>
      <c r="W961" s="8"/>
      <c r="X961" s="8"/>
      <c r="Y961" s="8"/>
      <c r="Z961" s="8"/>
    </row>
    <row r="962">
      <c r="A962" s="8">
        <f>IFERROR(__xludf.DUMMYFUNCTION("""COMPUTED_VALUE"""),9196.0)</f>
        <v>9196</v>
      </c>
      <c r="B962" s="8" t="str">
        <f>IFERROR(__xludf.DUMMYFUNCTION("""COMPUTED_VALUE"""),"tree")</f>
        <v>tree</v>
      </c>
      <c r="C962" s="8" t="str">
        <f>IFERROR(__xludf.DUMMYFUNCTION("""COMPUTED_VALUE"""),"graft")</f>
        <v>graft</v>
      </c>
      <c r="D962" s="55" t="str">
        <f>IFERROR(__xludf.DUMMYFUNCTION("""COMPUTED_VALUE"""),"Persea americana")</f>
        <v>Persea americana</v>
      </c>
      <c r="E962" s="8" t="str">
        <f>IFERROR(__xludf.DUMMYFUNCTION("""COMPUTED_VALUE"""),"Ronnie")</f>
        <v>Ronnie</v>
      </c>
      <c r="F962" s="8" t="str">
        <f>IFERROR(__xludf.DUMMYFUNCTION("""COMPUTED_VALUE"""),"Avocado")</f>
        <v>Avocado</v>
      </c>
      <c r="G962" s="8" t="str">
        <f>IFERROR(__xludf.DUMMYFUNCTION("""COMPUTED_VALUE"""),"Avocat")</f>
        <v>Avocat</v>
      </c>
      <c r="H962" s="8" t="str">
        <f>IFERROR(__xludf.DUMMYFUNCTION("""COMPUTED_VALUE"""),"Avocado")</f>
        <v>Avocado</v>
      </c>
      <c r="I962" s="8"/>
      <c r="J962" s="8"/>
      <c r="K962" s="8"/>
      <c r="L962" s="8">
        <f>IFERROR(__xludf.DUMMYFUNCTION("""COMPUTED_VALUE"""),1.0)</f>
        <v>1</v>
      </c>
      <c r="M962" s="8">
        <f>IFERROR(__xludf.DUMMYFUNCTION("""COMPUTED_VALUE"""),1.0)</f>
        <v>1</v>
      </c>
      <c r="N962" s="8">
        <f>IFERROR(__xludf.DUMMYFUNCTION("""COMPUTED_VALUE"""),2.0)</f>
        <v>2</v>
      </c>
      <c r="O962" s="8"/>
      <c r="P962" s="8"/>
      <c r="Q962" s="8"/>
      <c r="R962" s="8"/>
      <c r="S962" s="8"/>
      <c r="T962" s="8"/>
      <c r="U962" s="8"/>
      <c r="V962" s="8"/>
      <c r="W962" s="8"/>
      <c r="X962" s="8"/>
      <c r="Y962" s="8"/>
      <c r="Z962" s="8"/>
    </row>
    <row r="963">
      <c r="A963" s="8">
        <f>IFERROR(__xludf.DUMMYFUNCTION("""COMPUTED_VALUE"""),9199.0)</f>
        <v>9199</v>
      </c>
      <c r="B963" s="8" t="str">
        <f>IFERROR(__xludf.DUMMYFUNCTION("""COMPUTED_VALUE"""),"tree")</f>
        <v>tree</v>
      </c>
      <c r="C963" s="8" t="str">
        <f>IFERROR(__xludf.DUMMYFUNCTION("""COMPUTED_VALUE"""),"graft")</f>
        <v>graft</v>
      </c>
      <c r="D963" s="55" t="str">
        <f>IFERROR(__xludf.DUMMYFUNCTION("""COMPUTED_VALUE"""),"Mammea americana")</f>
        <v>Mammea americana</v>
      </c>
      <c r="E963" s="8" t="str">
        <f>IFERROR(__xludf.DUMMYFUNCTION("""COMPUTED_VALUE"""),"Fairchild")</f>
        <v>Fairchild</v>
      </c>
      <c r="F963" s="8" t="str">
        <f>IFERROR(__xludf.DUMMYFUNCTION("""COMPUTED_VALUE"""),"Mamey Apple")</f>
        <v>Mamey Apple</v>
      </c>
      <c r="G963" s="8" t="str">
        <f>IFERROR(__xludf.DUMMYFUNCTION("""COMPUTED_VALUE"""),"Abricot tropical/Pomme Mamey")</f>
        <v>Abricot tropical/Pomme Mamey</v>
      </c>
      <c r="H963" s="8" t="str">
        <f>IFERROR(__xludf.DUMMYFUNCTION("""COMPUTED_VALUE"""),"cutting")</f>
        <v>cutting</v>
      </c>
      <c r="I963" s="8" t="str">
        <f>IFERROR(__xludf.DUMMYFUNCTION("""COMPUTED_VALUE"""),"127")</f>
        <v>127</v>
      </c>
      <c r="J963" s="8"/>
      <c r="K963" s="8"/>
      <c r="L963" s="8">
        <f>IFERROR(__xludf.DUMMYFUNCTION("""COMPUTED_VALUE"""),1.0)</f>
        <v>1</v>
      </c>
      <c r="M963" s="8">
        <f>IFERROR(__xludf.DUMMYFUNCTION("""COMPUTED_VALUE"""),0.0)</f>
        <v>0</v>
      </c>
      <c r="N963" s="8">
        <f>IFERROR(__xludf.DUMMYFUNCTION("""COMPUTED_VALUE"""),0.0)</f>
        <v>0</v>
      </c>
      <c r="O963" s="8"/>
      <c r="P963" s="8"/>
      <c r="Q963" s="8"/>
      <c r="R963" s="8"/>
      <c r="S963" s="8"/>
      <c r="T963" s="8"/>
      <c r="U963" s="8"/>
      <c r="V963" s="8"/>
      <c r="W963" s="8"/>
      <c r="X963" s="8"/>
      <c r="Y963" s="8"/>
      <c r="Z963" s="8"/>
    </row>
    <row r="964">
      <c r="A964" s="8">
        <f>IFERROR(__xludf.DUMMYFUNCTION("""COMPUTED_VALUE"""),9200.0)</f>
        <v>9200</v>
      </c>
      <c r="B964" s="8" t="str">
        <f>IFERROR(__xludf.DUMMYFUNCTION("""COMPUTED_VALUE"""),"tree")</f>
        <v>tree</v>
      </c>
      <c r="C964" s="8" t="str">
        <f>IFERROR(__xludf.DUMMYFUNCTION("""COMPUTED_VALUE"""),"graft")</f>
        <v>graft</v>
      </c>
      <c r="D964" s="55" t="str">
        <f>IFERROR(__xludf.DUMMYFUNCTION("""COMPUTED_VALUE"""),"Mammea americana")</f>
        <v>Mammea americana</v>
      </c>
      <c r="E964" s="8" t="str">
        <f>IFERROR(__xludf.DUMMYFUNCTION("""COMPUTED_VALUE"""),"Fairchild")</f>
        <v>Fairchild</v>
      </c>
      <c r="F964" s="8" t="str">
        <f>IFERROR(__xludf.DUMMYFUNCTION("""COMPUTED_VALUE"""),"Mamey Apple")</f>
        <v>Mamey Apple</v>
      </c>
      <c r="G964" s="8" t="str">
        <f>IFERROR(__xludf.DUMMYFUNCTION("""COMPUTED_VALUE"""),"Abricot tropical/Pomme Mamey")</f>
        <v>Abricot tropical/Pomme Mamey</v>
      </c>
      <c r="H964" s="8" t="str">
        <f>IFERROR(__xludf.DUMMYFUNCTION("""COMPUTED_VALUE"""),"cutting")</f>
        <v>cutting</v>
      </c>
      <c r="I964" s="8" t="str">
        <f>IFERROR(__xludf.DUMMYFUNCTION("""COMPUTED_VALUE"""),"083")</f>
        <v>083</v>
      </c>
      <c r="J964" s="8"/>
      <c r="K964" s="8"/>
      <c r="L964" s="8">
        <f>IFERROR(__xludf.DUMMYFUNCTION("""COMPUTED_VALUE"""),1.0)</f>
        <v>1</v>
      </c>
      <c r="M964" s="8">
        <f>IFERROR(__xludf.DUMMYFUNCTION("""COMPUTED_VALUE"""),0.0)</f>
        <v>0</v>
      </c>
      <c r="N964" s="8">
        <f>IFERROR(__xludf.DUMMYFUNCTION("""COMPUTED_VALUE"""),0.0)</f>
        <v>0</v>
      </c>
      <c r="O964" s="8"/>
      <c r="P964" s="8"/>
      <c r="Q964" s="8"/>
      <c r="R964" s="8"/>
      <c r="S964" s="8"/>
      <c r="T964" s="8"/>
      <c r="U964" s="8"/>
      <c r="V964" s="8"/>
      <c r="W964" s="8"/>
      <c r="X964" s="8"/>
      <c r="Y964" s="8"/>
      <c r="Z964" s="8"/>
    </row>
    <row r="965">
      <c r="A965" s="8">
        <f>IFERROR(__xludf.DUMMYFUNCTION("""COMPUTED_VALUE"""),9201.0)</f>
        <v>9201</v>
      </c>
      <c r="B965" s="8" t="str">
        <f>IFERROR(__xludf.DUMMYFUNCTION("""COMPUTED_VALUE"""),"tree")</f>
        <v>tree</v>
      </c>
      <c r="C965" s="8" t="str">
        <f>IFERROR(__xludf.DUMMYFUNCTION("""COMPUTED_VALUE"""),"seed")</f>
        <v>seed</v>
      </c>
      <c r="D965" s="55" t="str">
        <f>IFERROR(__xludf.DUMMYFUNCTION("""COMPUTED_VALUE"""),"Inga sp.")</f>
        <v>Inga sp.</v>
      </c>
      <c r="E965" s="8"/>
      <c r="F965" s="8" t="str">
        <f>IFERROR(__xludf.DUMMYFUNCTION("""COMPUTED_VALUE"""),"Inga")</f>
        <v>Inga</v>
      </c>
      <c r="G965" s="8" t="str">
        <f>IFERROR(__xludf.DUMMYFUNCTION("""COMPUTED_VALUE"""),"Inga")</f>
        <v>Inga</v>
      </c>
      <c r="H965" s="8" t="str">
        <f>IFERROR(__xludf.DUMMYFUNCTION("""COMPUTED_VALUE"""),"Inga")</f>
        <v>Inga</v>
      </c>
      <c r="I965" s="8"/>
      <c r="J965" s="8"/>
      <c r="K965" s="8"/>
      <c r="L965" s="8" t="str">
        <f>IFERROR(__xludf.DUMMYFUNCTION("""COMPUTED_VALUE"""),"multiple")</f>
        <v>multiple</v>
      </c>
      <c r="M965" s="8"/>
      <c r="N965" s="8"/>
      <c r="O965" s="8"/>
      <c r="P965" s="8"/>
      <c r="Q965" s="8"/>
      <c r="R965" s="8"/>
      <c r="S965" s="8"/>
      <c r="T965" s="8"/>
      <c r="U965" s="8"/>
      <c r="V965" s="8"/>
      <c r="W965" s="8"/>
      <c r="X965" s="8"/>
      <c r="Y965" s="8"/>
      <c r="Z965" s="8"/>
    </row>
    <row r="966">
      <c r="A966" s="8">
        <f>IFERROR(__xludf.DUMMYFUNCTION("""COMPUTED_VALUE"""),9202.0)</f>
        <v>9202</v>
      </c>
      <c r="B966" s="8" t="str">
        <f>IFERROR(__xludf.DUMMYFUNCTION("""COMPUTED_VALUE"""),"tree")</f>
        <v>tree</v>
      </c>
      <c r="C966" s="8" t="str">
        <f>IFERROR(__xludf.DUMMYFUNCTION("""COMPUTED_VALUE"""),"seed")</f>
        <v>seed</v>
      </c>
      <c r="D966" s="55" t="str">
        <f>IFERROR(__xludf.DUMMYFUNCTION("""COMPUTED_VALUE"""),"Inga sp.")</f>
        <v>Inga sp.</v>
      </c>
      <c r="E966" s="8"/>
      <c r="F966" s="8" t="str">
        <f>IFERROR(__xludf.DUMMYFUNCTION("""COMPUTED_VALUE"""),"Inga")</f>
        <v>Inga</v>
      </c>
      <c r="G966" s="8" t="str">
        <f>IFERROR(__xludf.DUMMYFUNCTION("""COMPUTED_VALUE"""),"Inga")</f>
        <v>Inga</v>
      </c>
      <c r="H966" s="8" t="str">
        <f>IFERROR(__xludf.DUMMYFUNCTION("""COMPUTED_VALUE"""),"Inga")</f>
        <v>Inga</v>
      </c>
      <c r="I966" s="8"/>
      <c r="J966" s="8"/>
      <c r="K966" s="8"/>
      <c r="L966" s="8" t="str">
        <f>IFERROR(__xludf.DUMMYFUNCTION("""COMPUTED_VALUE"""),"multiple")</f>
        <v>multiple</v>
      </c>
      <c r="M966" s="8"/>
      <c r="N966" s="8"/>
      <c r="O966" s="8"/>
      <c r="P966" s="8"/>
      <c r="Q966" s="8"/>
      <c r="R966" s="8"/>
      <c r="S966" s="8"/>
      <c r="T966" s="8"/>
      <c r="U966" s="8"/>
      <c r="V966" s="8"/>
      <c r="W966" s="8"/>
      <c r="X966" s="8"/>
      <c r="Y966" s="8"/>
      <c r="Z966" s="8"/>
    </row>
    <row r="967">
      <c r="A967" s="8">
        <f>IFERROR(__xludf.DUMMYFUNCTION("""COMPUTED_VALUE"""),9203.0)</f>
        <v>9203</v>
      </c>
      <c r="B967" s="8" t="str">
        <f>IFERROR(__xludf.DUMMYFUNCTION("""COMPUTED_VALUE"""),"tree")</f>
        <v>tree</v>
      </c>
      <c r="C967" s="8" t="str">
        <f>IFERROR(__xludf.DUMMYFUNCTION("""COMPUTED_VALUE"""),"seed")</f>
        <v>seed</v>
      </c>
      <c r="D967" s="55" t="str">
        <f>IFERROR(__xludf.DUMMYFUNCTION("""COMPUTED_VALUE"""),"Garcinia humilis")</f>
        <v>Garcinia humilis</v>
      </c>
      <c r="E967" s="8"/>
      <c r="F967" s="8" t="str">
        <f>IFERROR(__xludf.DUMMYFUNCTION("""COMPUTED_VALUE"""),"Achacha")</f>
        <v>Achacha</v>
      </c>
      <c r="G967" s="8" t="str">
        <f>IFERROR(__xludf.DUMMYFUNCTION("""COMPUTED_VALUE"""),"Achacha")</f>
        <v>Achacha</v>
      </c>
      <c r="H967" s="8" t="str">
        <f>IFERROR(__xludf.DUMMYFUNCTION("""COMPUTED_VALUE"""),"seed")</f>
        <v>seed</v>
      </c>
      <c r="I967" s="8"/>
      <c r="J967" s="8"/>
      <c r="K967" s="8"/>
      <c r="L967" s="8"/>
      <c r="M967" s="8"/>
      <c r="N967" s="8"/>
      <c r="O967" s="8"/>
      <c r="P967" s="8"/>
      <c r="Q967" s="8"/>
      <c r="R967" s="8"/>
      <c r="S967" s="8"/>
      <c r="T967" s="8"/>
      <c r="U967" s="8"/>
      <c r="V967" s="8"/>
      <c r="W967" s="8"/>
      <c r="X967" s="8"/>
      <c r="Y967" s="8"/>
      <c r="Z967" s="8"/>
    </row>
    <row r="968">
      <c r="A968" s="8">
        <f>IFERROR(__xludf.DUMMYFUNCTION("""COMPUTED_VALUE"""),9204.0)</f>
        <v>9204</v>
      </c>
      <c r="B968" s="8" t="str">
        <f>IFERROR(__xludf.DUMMYFUNCTION("""COMPUTED_VALUE"""),"tree")</f>
        <v>tree</v>
      </c>
      <c r="C968" s="8" t="str">
        <f>IFERROR(__xludf.DUMMYFUNCTION("""COMPUTED_VALUE"""),"graft")</f>
        <v>graft</v>
      </c>
      <c r="D968" s="55" t="str">
        <f>IFERROR(__xludf.DUMMYFUNCTION("""COMPUTED_VALUE"""),"Eriobotrya japonica")</f>
        <v>Eriobotrya japonica</v>
      </c>
      <c r="E968" s="8" t="str">
        <f>IFERROR(__xludf.DUMMYFUNCTION("""COMPUTED_VALUE"""),"Yehuda")</f>
        <v>Yehuda</v>
      </c>
      <c r="F968" s="8" t="str">
        <f>IFERROR(__xludf.DUMMYFUNCTION("""COMPUTED_VALUE"""),"Loquat")</f>
        <v>Loquat</v>
      </c>
      <c r="G968" s="8" t="str">
        <f>IFERROR(__xludf.DUMMYFUNCTION("""COMPUTED_VALUE"""),"Néflier du Japon")</f>
        <v>Néflier du Japon</v>
      </c>
      <c r="H968" s="8" t="str">
        <f>IFERROR(__xludf.DUMMYFUNCTION("""COMPUTED_VALUE"""),"Loquat")</f>
        <v>Loquat</v>
      </c>
      <c r="I968" s="8"/>
      <c r="J968" s="8"/>
      <c r="K968" s="8"/>
      <c r="L968" s="8" t="str">
        <f>IFERROR(__xludf.DUMMYFUNCTION("""COMPUTED_VALUE"""),"multiple")</f>
        <v>multiple</v>
      </c>
      <c r="M968" s="8">
        <f>IFERROR(__xludf.DUMMYFUNCTION("""COMPUTED_VALUE"""),0.0)</f>
        <v>0</v>
      </c>
      <c r="N968" s="8">
        <f>IFERROR(__xludf.DUMMYFUNCTION("""COMPUTED_VALUE"""),1.0)</f>
        <v>1</v>
      </c>
      <c r="O968" s="8"/>
      <c r="P968" s="8"/>
      <c r="Q968" s="8"/>
      <c r="R968" s="8"/>
      <c r="S968" s="8"/>
      <c r="T968" s="8"/>
      <c r="U968" s="8"/>
      <c r="V968" s="8"/>
      <c r="W968" s="8"/>
      <c r="X968" s="8"/>
      <c r="Y968" s="8"/>
      <c r="Z968" s="8"/>
    </row>
    <row r="969">
      <c r="A969" s="8">
        <f>IFERROR(__xludf.DUMMYFUNCTION("""COMPUTED_VALUE"""),9205.0)</f>
        <v>9205</v>
      </c>
      <c r="B969" s="8" t="str">
        <f>IFERROR(__xludf.DUMMYFUNCTION("""COMPUTED_VALUE"""),"tree")</f>
        <v>tree</v>
      </c>
      <c r="C969" s="8" t="str">
        <f>IFERROR(__xludf.DUMMYFUNCTION("""COMPUTED_VALUE"""),"graft")</f>
        <v>graft</v>
      </c>
      <c r="D969" s="55" t="str">
        <f>IFERROR(__xludf.DUMMYFUNCTION("""COMPUTED_VALUE"""),"Eriobotrya japonica")</f>
        <v>Eriobotrya japonica</v>
      </c>
      <c r="E969" s="8" t="str">
        <f>IFERROR(__xludf.DUMMYFUNCTION("""COMPUTED_VALUE"""),"Christmas")</f>
        <v>Christmas</v>
      </c>
      <c r="F969" s="8" t="str">
        <f>IFERROR(__xludf.DUMMYFUNCTION("""COMPUTED_VALUE"""),"Loquat")</f>
        <v>Loquat</v>
      </c>
      <c r="G969" s="8" t="str">
        <f>IFERROR(__xludf.DUMMYFUNCTION("""COMPUTED_VALUE"""),"Néflier du Japon")</f>
        <v>Néflier du Japon</v>
      </c>
      <c r="H969" s="8" t="str">
        <f>IFERROR(__xludf.DUMMYFUNCTION("""COMPUTED_VALUE"""),"Loquat")</f>
        <v>Loquat</v>
      </c>
      <c r="I969" s="8"/>
      <c r="J969" s="8"/>
      <c r="K969" s="8"/>
      <c r="L969" s="8" t="str">
        <f>IFERROR(__xludf.DUMMYFUNCTION("""COMPUTED_VALUE"""),"multiple")</f>
        <v>multiple</v>
      </c>
      <c r="M969" s="8">
        <f>IFERROR(__xludf.DUMMYFUNCTION("""COMPUTED_VALUE"""),0.0)</f>
        <v>0</v>
      </c>
      <c r="N969" s="8">
        <f>IFERROR(__xludf.DUMMYFUNCTION("""COMPUTED_VALUE"""),0.0)</f>
        <v>0</v>
      </c>
      <c r="O969" s="8"/>
      <c r="P969" s="8"/>
      <c r="Q969" s="8"/>
      <c r="R969" s="8"/>
      <c r="S969" s="8"/>
      <c r="T969" s="8"/>
      <c r="U969" s="8"/>
      <c r="V969" s="8"/>
      <c r="W969" s="8"/>
      <c r="X969" s="8"/>
      <c r="Y969" s="8"/>
      <c r="Z969" s="8"/>
    </row>
    <row r="970">
      <c r="A970" s="8">
        <f>IFERROR(__xludf.DUMMYFUNCTION("""COMPUTED_VALUE"""),9206.0)</f>
        <v>9206</v>
      </c>
      <c r="B970" s="8" t="str">
        <f>IFERROR(__xludf.DUMMYFUNCTION("""COMPUTED_VALUE"""),"tree")</f>
        <v>tree</v>
      </c>
      <c r="C970" s="8" t="str">
        <f>IFERROR(__xludf.DUMMYFUNCTION("""COMPUTED_VALUE"""),"graft")</f>
        <v>graft</v>
      </c>
      <c r="D970" s="55" t="str">
        <f>IFERROR(__xludf.DUMMYFUNCTION("""COMPUTED_VALUE"""),"Eriobotrya japonica")</f>
        <v>Eriobotrya japonica</v>
      </c>
      <c r="E970" s="8" t="str">
        <f>IFERROR(__xludf.DUMMYFUNCTION("""COMPUTED_VALUE"""),"Champagne")</f>
        <v>Champagne</v>
      </c>
      <c r="F970" s="8" t="str">
        <f>IFERROR(__xludf.DUMMYFUNCTION("""COMPUTED_VALUE"""),"Loquat")</f>
        <v>Loquat</v>
      </c>
      <c r="G970" s="8" t="str">
        <f>IFERROR(__xludf.DUMMYFUNCTION("""COMPUTED_VALUE"""),"Néflier du Japon")</f>
        <v>Néflier du Japon</v>
      </c>
      <c r="H970" s="8" t="str">
        <f>IFERROR(__xludf.DUMMYFUNCTION("""COMPUTED_VALUE"""),"Loquat")</f>
        <v>Loquat</v>
      </c>
      <c r="I970" s="8"/>
      <c r="J970" s="8"/>
      <c r="K970" s="8"/>
      <c r="L970" s="8" t="str">
        <f>IFERROR(__xludf.DUMMYFUNCTION("""COMPUTED_VALUE"""),"multiple")</f>
        <v>multiple</v>
      </c>
      <c r="M970" s="8">
        <f>IFERROR(__xludf.DUMMYFUNCTION("""COMPUTED_VALUE"""),0.0)</f>
        <v>0</v>
      </c>
      <c r="N970" s="8">
        <f>IFERROR(__xludf.DUMMYFUNCTION("""COMPUTED_VALUE"""),0.0)</f>
        <v>0</v>
      </c>
      <c r="O970" s="8"/>
      <c r="P970" s="8"/>
      <c r="Q970" s="8"/>
      <c r="R970" s="8"/>
      <c r="S970" s="8"/>
      <c r="T970" s="8"/>
      <c r="U970" s="8"/>
      <c r="V970" s="8"/>
      <c r="W970" s="8"/>
      <c r="X970" s="8"/>
      <c r="Y970" s="8"/>
      <c r="Z970" s="8"/>
    </row>
    <row r="971">
      <c r="A971" s="8">
        <f>IFERROR(__xludf.DUMMYFUNCTION("""COMPUTED_VALUE"""),9207.0)</f>
        <v>9207</v>
      </c>
      <c r="B971" s="8" t="str">
        <f>IFERROR(__xludf.DUMMYFUNCTION("""COMPUTED_VALUE"""),"tree")</f>
        <v>tree</v>
      </c>
      <c r="C971" s="8" t="str">
        <f>IFERROR(__xludf.DUMMYFUNCTION("""COMPUTED_VALUE"""),"graft")</f>
        <v>graft</v>
      </c>
      <c r="D971" s="55" t="str">
        <f>IFERROR(__xludf.DUMMYFUNCTION("""COMPUTED_VALUE"""),"Eriobotrya japonica")</f>
        <v>Eriobotrya japonica</v>
      </c>
      <c r="E971" s="8" t="str">
        <f>IFERROR(__xludf.DUMMYFUNCTION("""COMPUTED_VALUE"""),"Vista White")</f>
        <v>Vista White</v>
      </c>
      <c r="F971" s="8" t="str">
        <f>IFERROR(__xludf.DUMMYFUNCTION("""COMPUTED_VALUE"""),"Loquat")</f>
        <v>Loquat</v>
      </c>
      <c r="G971" s="8" t="str">
        <f>IFERROR(__xludf.DUMMYFUNCTION("""COMPUTED_VALUE"""),"Néflier du Japon")</f>
        <v>Néflier du Japon</v>
      </c>
      <c r="H971" s="8" t="str">
        <f>IFERROR(__xludf.DUMMYFUNCTION("""COMPUTED_VALUE"""),"Loquat")</f>
        <v>Loquat</v>
      </c>
      <c r="I971" s="8"/>
      <c r="J971" s="8"/>
      <c r="K971" s="8"/>
      <c r="L971" s="8" t="str">
        <f>IFERROR(__xludf.DUMMYFUNCTION("""COMPUTED_VALUE"""),"multiple")</f>
        <v>multiple</v>
      </c>
      <c r="M971" s="8">
        <f>IFERROR(__xludf.DUMMYFUNCTION("""COMPUTED_VALUE"""),0.0)</f>
        <v>0</v>
      </c>
      <c r="N971" s="8">
        <f>IFERROR(__xludf.DUMMYFUNCTION("""COMPUTED_VALUE"""),0.0)</f>
        <v>0</v>
      </c>
      <c r="O971" s="8"/>
      <c r="P971" s="8"/>
      <c r="Q971" s="8"/>
      <c r="R971" s="8"/>
      <c r="S971" s="8"/>
      <c r="T971" s="8"/>
      <c r="U971" s="8"/>
      <c r="V971" s="8"/>
      <c r="W971" s="8"/>
      <c r="X971" s="8"/>
      <c r="Y971" s="8"/>
      <c r="Z971" s="8"/>
    </row>
    <row r="972">
      <c r="A972" s="8">
        <f>IFERROR(__xludf.DUMMYFUNCTION("""COMPUTED_VALUE"""),9208.0)</f>
        <v>9208</v>
      </c>
      <c r="B972" s="8" t="str">
        <f>IFERROR(__xludf.DUMMYFUNCTION("""COMPUTED_VALUE"""),"tree")</f>
        <v>tree</v>
      </c>
      <c r="C972" s="8" t="str">
        <f>IFERROR(__xludf.DUMMYFUNCTION("""COMPUTED_VALUE"""),"graft")</f>
        <v>graft</v>
      </c>
      <c r="D972" s="55" t="str">
        <f>IFERROR(__xludf.DUMMYFUNCTION("""COMPUTED_VALUE"""),"Pouteria sapota")</f>
        <v>Pouteria sapota</v>
      </c>
      <c r="E972" s="8" t="str">
        <f>IFERROR(__xludf.DUMMYFUNCTION("""COMPUTED_VALUE"""),"Pace")</f>
        <v>Pace</v>
      </c>
      <c r="F972" s="8" t="str">
        <f>IFERROR(__xludf.DUMMYFUNCTION("""COMPUTED_VALUE"""),"Mamey Sapote")</f>
        <v>Mamey Sapote</v>
      </c>
      <c r="G972" s="8" t="str">
        <f>IFERROR(__xludf.DUMMYFUNCTION("""COMPUTED_VALUE"""),"Sapote Mamey")</f>
        <v>Sapote Mamey</v>
      </c>
      <c r="H972" s="8" t="str">
        <f>IFERROR(__xludf.DUMMYFUNCTION("""COMPUTED_VALUE"""),"seed")</f>
        <v>seed</v>
      </c>
      <c r="I972" s="8"/>
      <c r="J972" s="8"/>
      <c r="K972" s="8"/>
      <c r="L972" s="8" t="str">
        <f>IFERROR(__xludf.DUMMYFUNCTION("""COMPUTED_VALUE"""),"multiple")</f>
        <v>multiple</v>
      </c>
      <c r="M972" s="8">
        <f>IFERROR(__xludf.DUMMYFUNCTION("""COMPUTED_VALUE"""),0.0)</f>
        <v>0</v>
      </c>
      <c r="N972" s="8">
        <f>IFERROR(__xludf.DUMMYFUNCTION("""COMPUTED_VALUE"""),0.0)</f>
        <v>0</v>
      </c>
      <c r="O972" s="8"/>
      <c r="P972" s="8"/>
      <c r="Q972" s="8"/>
      <c r="R972" s="8"/>
      <c r="S972" s="8"/>
      <c r="T972" s="8"/>
      <c r="U972" s="8"/>
      <c r="V972" s="8"/>
      <c r="W972" s="8"/>
      <c r="X972" s="8"/>
      <c r="Y972" s="8"/>
      <c r="Z972" s="8"/>
    </row>
    <row r="973">
      <c r="A973" s="8">
        <f>IFERROR(__xludf.DUMMYFUNCTION("""COMPUTED_VALUE"""),9209.0)</f>
        <v>9209</v>
      </c>
      <c r="B973" s="8" t="str">
        <f>IFERROR(__xludf.DUMMYFUNCTION("""COMPUTED_VALUE"""),"tree")</f>
        <v>tree</v>
      </c>
      <c r="C973" s="8" t="str">
        <f>IFERROR(__xludf.DUMMYFUNCTION("""COMPUTED_VALUE"""),"graft")</f>
        <v>graft</v>
      </c>
      <c r="D973" s="55" t="str">
        <f>IFERROR(__xludf.DUMMYFUNCTION("""COMPUTED_VALUE"""),"Eriobotrya japonica")</f>
        <v>Eriobotrya japonica</v>
      </c>
      <c r="E973" s="8" t="str">
        <f>IFERROR(__xludf.DUMMYFUNCTION("""COMPUTED_VALUE"""),"Bradenton")</f>
        <v>Bradenton</v>
      </c>
      <c r="F973" s="8" t="str">
        <f>IFERROR(__xludf.DUMMYFUNCTION("""COMPUTED_VALUE"""),"Loquat")</f>
        <v>Loquat</v>
      </c>
      <c r="G973" s="8" t="str">
        <f>IFERROR(__xludf.DUMMYFUNCTION("""COMPUTED_VALUE"""),"Néflier du Japon")</f>
        <v>Néflier du Japon</v>
      </c>
      <c r="H973" s="8" t="str">
        <f>IFERROR(__xludf.DUMMYFUNCTION("""COMPUTED_VALUE"""),"Loquat")</f>
        <v>Loquat</v>
      </c>
      <c r="I973" s="8"/>
      <c r="J973" s="8"/>
      <c r="K973" s="8"/>
      <c r="L973" s="8" t="str">
        <f>IFERROR(__xludf.DUMMYFUNCTION("""COMPUTED_VALUE"""),"multiple")</f>
        <v>multiple</v>
      </c>
      <c r="M973" s="8">
        <f>IFERROR(__xludf.DUMMYFUNCTION("""COMPUTED_VALUE"""),0.0)</f>
        <v>0</v>
      </c>
      <c r="N973" s="8">
        <f>IFERROR(__xludf.DUMMYFUNCTION("""COMPUTED_VALUE"""),1.0)</f>
        <v>1</v>
      </c>
      <c r="O973" s="8"/>
      <c r="P973" s="8"/>
      <c r="Q973" s="8"/>
      <c r="R973" s="8"/>
      <c r="S973" s="8"/>
      <c r="T973" s="8"/>
      <c r="U973" s="8"/>
      <c r="V973" s="8"/>
      <c r="W973" s="8"/>
      <c r="X973" s="8"/>
      <c r="Y973" s="8"/>
      <c r="Z973" s="8"/>
    </row>
    <row r="974">
      <c r="A974" s="8">
        <f>IFERROR(__xludf.DUMMYFUNCTION("""COMPUTED_VALUE"""),9210.0)</f>
        <v>9210</v>
      </c>
      <c r="B974" s="8" t="str">
        <f>IFERROR(__xludf.DUMMYFUNCTION("""COMPUTED_VALUE"""),"tree")</f>
        <v>tree</v>
      </c>
      <c r="C974" s="8" t="str">
        <f>IFERROR(__xludf.DUMMYFUNCTION("""COMPUTED_VALUE"""),"graft")</f>
        <v>graft</v>
      </c>
      <c r="D974" s="55" t="str">
        <f>IFERROR(__xludf.DUMMYFUNCTION("""COMPUTED_VALUE"""),"Eriobotrya japonica")</f>
        <v>Eriobotrya japonica</v>
      </c>
      <c r="E974" s="8" t="str">
        <f>IFERROR(__xludf.DUMMYFUNCTION("""COMPUTED_VALUE"""),"Gold Nugget")</f>
        <v>Gold Nugget</v>
      </c>
      <c r="F974" s="8" t="str">
        <f>IFERROR(__xludf.DUMMYFUNCTION("""COMPUTED_VALUE"""),"Loquat")</f>
        <v>Loquat</v>
      </c>
      <c r="G974" s="8" t="str">
        <f>IFERROR(__xludf.DUMMYFUNCTION("""COMPUTED_VALUE"""),"Néflier du Japon")</f>
        <v>Néflier du Japon</v>
      </c>
      <c r="H974" s="8" t="str">
        <f>IFERROR(__xludf.DUMMYFUNCTION("""COMPUTED_VALUE"""),"Loquat")</f>
        <v>Loquat</v>
      </c>
      <c r="I974" s="8"/>
      <c r="J974" s="8"/>
      <c r="K974" s="8"/>
      <c r="L974" s="8" t="str">
        <f>IFERROR(__xludf.DUMMYFUNCTION("""COMPUTED_VALUE"""),"multiple")</f>
        <v>multiple</v>
      </c>
      <c r="M974" s="8">
        <f>IFERROR(__xludf.DUMMYFUNCTION("""COMPUTED_VALUE"""),0.0)</f>
        <v>0</v>
      </c>
      <c r="N974" s="8">
        <f>IFERROR(__xludf.DUMMYFUNCTION("""COMPUTED_VALUE"""),0.0)</f>
        <v>0</v>
      </c>
      <c r="O974" s="8"/>
      <c r="P974" s="8"/>
      <c r="Q974" s="8"/>
      <c r="R974" s="8"/>
      <c r="S974" s="8"/>
      <c r="T974" s="8"/>
      <c r="U974" s="8"/>
      <c r="V974" s="8"/>
      <c r="W974" s="8"/>
      <c r="X974" s="8"/>
      <c r="Y974" s="8"/>
      <c r="Z974" s="8"/>
    </row>
    <row r="975">
      <c r="A975" s="8">
        <f>IFERROR(__xludf.DUMMYFUNCTION("""COMPUTED_VALUE"""),9211.0)</f>
        <v>9211</v>
      </c>
      <c r="B975" s="8" t="str">
        <f>IFERROR(__xludf.DUMMYFUNCTION("""COMPUTED_VALUE"""),"tree")</f>
        <v>tree</v>
      </c>
      <c r="C975" s="8" t="str">
        <f>IFERROR(__xludf.DUMMYFUNCTION("""COMPUTED_VALUE"""),"graft")</f>
        <v>graft</v>
      </c>
      <c r="D975" s="55" t="str">
        <f>IFERROR(__xludf.DUMMYFUNCTION("""COMPUTED_VALUE"""),"Eriobotrya japonica")</f>
        <v>Eriobotrya japonica</v>
      </c>
      <c r="E975" s="8" t="str">
        <f>IFERROR(__xludf.DUMMYFUNCTION("""COMPUTED_VALUE"""),"Sherry")</f>
        <v>Sherry</v>
      </c>
      <c r="F975" s="8" t="str">
        <f>IFERROR(__xludf.DUMMYFUNCTION("""COMPUTED_VALUE"""),"Loquat")</f>
        <v>Loquat</v>
      </c>
      <c r="G975" s="8" t="str">
        <f>IFERROR(__xludf.DUMMYFUNCTION("""COMPUTED_VALUE"""),"Néflier du Japon")</f>
        <v>Néflier du Japon</v>
      </c>
      <c r="H975" s="8" t="str">
        <f>IFERROR(__xludf.DUMMYFUNCTION("""COMPUTED_VALUE"""),"Loquat")</f>
        <v>Loquat</v>
      </c>
      <c r="I975" s="8"/>
      <c r="J975" s="8"/>
      <c r="K975" s="8"/>
      <c r="L975" s="8" t="str">
        <f>IFERROR(__xludf.DUMMYFUNCTION("""COMPUTED_VALUE"""),"multiple")</f>
        <v>multiple</v>
      </c>
      <c r="M975" s="8">
        <f>IFERROR(__xludf.DUMMYFUNCTION("""COMPUTED_VALUE"""),0.0)</f>
        <v>0</v>
      </c>
      <c r="N975" s="8">
        <f>IFERROR(__xludf.DUMMYFUNCTION("""COMPUTED_VALUE"""),0.0)</f>
        <v>0</v>
      </c>
      <c r="O975" s="8"/>
      <c r="P975" s="8"/>
      <c r="Q975" s="8"/>
      <c r="R975" s="8"/>
      <c r="S975" s="8"/>
      <c r="T975" s="8"/>
      <c r="U975" s="8"/>
      <c r="V975" s="8"/>
      <c r="W975" s="8"/>
      <c r="X975" s="8"/>
      <c r="Y975" s="8"/>
      <c r="Z975" s="8"/>
    </row>
    <row r="976">
      <c r="A976" s="8">
        <f>IFERROR(__xludf.DUMMYFUNCTION("""COMPUTED_VALUE"""),9212.0)</f>
        <v>9212</v>
      </c>
      <c r="B976" s="8" t="str">
        <f>IFERROR(__xludf.DUMMYFUNCTION("""COMPUTED_VALUE"""),"tree")</f>
        <v>tree</v>
      </c>
      <c r="C976" s="8" t="str">
        <f>IFERROR(__xludf.DUMMYFUNCTION("""COMPUTED_VALUE"""),"graft")</f>
        <v>graft</v>
      </c>
      <c r="D976" s="55" t="str">
        <f>IFERROR(__xludf.DUMMYFUNCTION("""COMPUTED_VALUE"""),"Manilkara zapota")</f>
        <v>Manilkara zapota</v>
      </c>
      <c r="E976" s="8" t="str">
        <f>IFERROR(__xludf.DUMMYFUNCTION("""COMPUTED_VALUE"""),"Alano")</f>
        <v>Alano</v>
      </c>
      <c r="F976" s="8" t="str">
        <f>IFERROR(__xludf.DUMMYFUNCTION("""COMPUTED_VALUE"""),"Sapodilla")</f>
        <v>Sapodilla</v>
      </c>
      <c r="G976" s="8" t="str">
        <f>IFERROR(__xludf.DUMMYFUNCTION("""COMPUTED_VALUE"""),"Sapotille")</f>
        <v>Sapotille</v>
      </c>
      <c r="H976" s="8" t="str">
        <f>IFERROR(__xludf.DUMMYFUNCTION("""COMPUTED_VALUE"""),"Sapodilla")</f>
        <v>Sapodilla</v>
      </c>
      <c r="I976" s="8"/>
      <c r="J976" s="8"/>
      <c r="K976" s="8"/>
      <c r="L976" s="8" t="str">
        <f>IFERROR(__xludf.DUMMYFUNCTION("""COMPUTED_VALUE"""),"multiple")</f>
        <v>multiple</v>
      </c>
      <c r="M976" s="8">
        <f>IFERROR(__xludf.DUMMYFUNCTION("""COMPUTED_VALUE"""),0.0)</f>
        <v>0</v>
      </c>
      <c r="N976" s="8">
        <f>IFERROR(__xludf.DUMMYFUNCTION("""COMPUTED_VALUE"""),0.0)</f>
        <v>0</v>
      </c>
      <c r="O976" s="8"/>
      <c r="P976" s="8"/>
      <c r="Q976" s="8"/>
      <c r="R976" s="8"/>
      <c r="S976" s="8"/>
      <c r="T976" s="8"/>
      <c r="U976" s="8"/>
      <c r="V976" s="8"/>
      <c r="W976" s="8"/>
      <c r="X976" s="8"/>
      <c r="Y976" s="8"/>
      <c r="Z976" s="8"/>
    </row>
    <row r="977">
      <c r="A977" s="8">
        <f>IFERROR(__xludf.DUMMYFUNCTION("""COMPUTED_VALUE"""),9213.0)</f>
        <v>9213</v>
      </c>
      <c r="B977" s="8" t="str">
        <f>IFERROR(__xludf.DUMMYFUNCTION("""COMPUTED_VALUE"""),"tree")</f>
        <v>tree</v>
      </c>
      <c r="C977" s="8" t="str">
        <f>IFERROR(__xludf.DUMMYFUNCTION("""COMPUTED_VALUE"""),"graft")</f>
        <v>graft</v>
      </c>
      <c r="D977" s="55" t="str">
        <f>IFERROR(__xludf.DUMMYFUNCTION("""COMPUTED_VALUE"""),"Manilkara zapota")</f>
        <v>Manilkara zapota</v>
      </c>
      <c r="E977" s="8" t="str">
        <f>IFERROR(__xludf.DUMMYFUNCTION("""COMPUTED_VALUE"""),"Silas Wood")</f>
        <v>Silas Wood</v>
      </c>
      <c r="F977" s="8" t="str">
        <f>IFERROR(__xludf.DUMMYFUNCTION("""COMPUTED_VALUE"""),"Sapodilla")</f>
        <v>Sapodilla</v>
      </c>
      <c r="G977" s="8" t="str">
        <f>IFERROR(__xludf.DUMMYFUNCTION("""COMPUTED_VALUE"""),"Sapotille")</f>
        <v>Sapotille</v>
      </c>
      <c r="H977" s="8" t="str">
        <f>IFERROR(__xludf.DUMMYFUNCTION("""COMPUTED_VALUE"""),"Sapodilla")</f>
        <v>Sapodilla</v>
      </c>
      <c r="I977" s="8"/>
      <c r="J977" s="8"/>
      <c r="K977" s="8"/>
      <c r="L977" s="8" t="str">
        <f>IFERROR(__xludf.DUMMYFUNCTION("""COMPUTED_VALUE"""),"multiple")</f>
        <v>multiple</v>
      </c>
      <c r="M977" s="8">
        <f>IFERROR(__xludf.DUMMYFUNCTION("""COMPUTED_VALUE"""),0.0)</f>
        <v>0</v>
      </c>
      <c r="N977" s="8">
        <f>IFERROR(__xludf.DUMMYFUNCTION("""COMPUTED_VALUE"""),0.0)</f>
        <v>0</v>
      </c>
      <c r="O977" s="8"/>
      <c r="P977" s="8"/>
      <c r="Q977" s="8"/>
      <c r="R977" s="8"/>
      <c r="S977" s="8"/>
      <c r="T977" s="8"/>
      <c r="U977" s="8"/>
      <c r="V977" s="8"/>
      <c r="W977" s="8"/>
      <c r="X977" s="8"/>
      <c r="Y977" s="8"/>
      <c r="Z977" s="8"/>
    </row>
    <row r="978">
      <c r="A978" s="8">
        <f>IFERROR(__xludf.DUMMYFUNCTION("""COMPUTED_VALUE"""),9215.0)</f>
        <v>9215</v>
      </c>
      <c r="B978" s="8" t="str">
        <f>IFERROR(__xludf.DUMMYFUNCTION("""COMPUTED_VALUE"""),"tree")</f>
        <v>tree</v>
      </c>
      <c r="C978" s="8" t="str">
        <f>IFERROR(__xludf.DUMMYFUNCTION("""COMPUTED_VALUE"""),"graft")</f>
        <v>graft</v>
      </c>
      <c r="D978" s="55" t="str">
        <f>IFERROR(__xludf.DUMMYFUNCTION("""COMPUTED_VALUE"""),"Persea americana")</f>
        <v>Persea americana</v>
      </c>
      <c r="E978" s="8" t="str">
        <f>IFERROR(__xludf.DUMMYFUNCTION("""COMPUTED_VALUE"""),"Kampong")</f>
        <v>Kampong</v>
      </c>
      <c r="F978" s="8" t="str">
        <f>IFERROR(__xludf.DUMMYFUNCTION("""COMPUTED_VALUE"""),"Avocado")</f>
        <v>Avocado</v>
      </c>
      <c r="G978" s="8" t="str">
        <f>IFERROR(__xludf.DUMMYFUNCTION("""COMPUTED_VALUE"""),"Avocat")</f>
        <v>Avocat</v>
      </c>
      <c r="H978" s="8" t="str">
        <f>IFERROR(__xludf.DUMMYFUNCTION("""COMPUTED_VALUE"""),"seed")</f>
        <v>seed</v>
      </c>
      <c r="I978" s="8"/>
      <c r="J978" s="8"/>
      <c r="K978" s="8"/>
      <c r="L978" s="8">
        <f>IFERROR(__xludf.DUMMYFUNCTION("""COMPUTED_VALUE"""),1.0)</f>
        <v>1</v>
      </c>
      <c r="M978" s="8">
        <f>IFERROR(__xludf.DUMMYFUNCTION("""COMPUTED_VALUE"""),0.0)</f>
        <v>0</v>
      </c>
      <c r="N978" s="8">
        <f>IFERROR(__xludf.DUMMYFUNCTION("""COMPUTED_VALUE"""),0.0)</f>
        <v>0</v>
      </c>
      <c r="O978" s="8"/>
      <c r="P978" s="8"/>
      <c r="Q978" s="8"/>
      <c r="R978" s="8"/>
      <c r="S978" s="8"/>
      <c r="T978" s="8"/>
      <c r="U978" s="8"/>
      <c r="V978" s="8"/>
      <c r="W978" s="8"/>
      <c r="X978" s="8"/>
      <c r="Y978" s="8"/>
      <c r="Z978" s="8"/>
    </row>
    <row r="979">
      <c r="A979" s="8">
        <f>IFERROR(__xludf.DUMMYFUNCTION("""COMPUTED_VALUE"""),9220.0)</f>
        <v>9220</v>
      </c>
      <c r="B979" s="8" t="str">
        <f>IFERROR(__xludf.DUMMYFUNCTION("""COMPUTED_VALUE"""),"perennial")</f>
        <v>perennial</v>
      </c>
      <c r="C979" s="8" t="str">
        <f>IFERROR(__xludf.DUMMYFUNCTION("""COMPUTED_VALUE"""),"cutting")</f>
        <v>cutting</v>
      </c>
      <c r="D979" s="55" t="str">
        <f>IFERROR(__xludf.DUMMYFUNCTION("""COMPUTED_VALUE"""),"Vanilla planifolia")</f>
        <v>Vanilla planifolia</v>
      </c>
      <c r="E979" s="8"/>
      <c r="F979" s="8" t="str">
        <f>IFERROR(__xludf.DUMMYFUNCTION("""COMPUTED_VALUE"""),"Vanilla")</f>
        <v>Vanilla</v>
      </c>
      <c r="G979" s="8" t="str">
        <f>IFERROR(__xludf.DUMMYFUNCTION("""COMPUTED_VALUE"""),"Vanille")</f>
        <v>Vanille</v>
      </c>
      <c r="H979" s="8" t="str">
        <f>IFERROR(__xludf.DUMMYFUNCTION("""COMPUTED_VALUE"""),"seed")</f>
        <v>seed</v>
      </c>
      <c r="I979" s="8"/>
      <c r="J979" s="8"/>
      <c r="K979" s="8"/>
      <c r="L979" s="8"/>
      <c r="M979" s="8"/>
      <c r="N979" s="8"/>
      <c r="O979" s="8"/>
      <c r="P979" s="8"/>
      <c r="Q979" s="8"/>
      <c r="R979" s="8"/>
      <c r="S979" s="8"/>
      <c r="T979" s="8"/>
      <c r="U979" s="8"/>
      <c r="V979" s="8"/>
      <c r="W979" s="8"/>
      <c r="X979" s="8"/>
      <c r="Y979" s="8"/>
      <c r="Z979" s="8"/>
    </row>
    <row r="980">
      <c r="A980" s="8">
        <f>IFERROR(__xludf.DUMMYFUNCTION("""COMPUTED_VALUE"""),9221.0)</f>
        <v>9221</v>
      </c>
      <c r="B980" s="8" t="str">
        <f>IFERROR(__xludf.DUMMYFUNCTION("""COMPUTED_VALUE"""),"perennial")</f>
        <v>perennial</v>
      </c>
      <c r="C980" s="8" t="str">
        <f>IFERROR(__xludf.DUMMYFUNCTION("""COMPUTED_VALUE"""),"cutting")</f>
        <v>cutting</v>
      </c>
      <c r="D980" s="55" t="str">
        <f>IFERROR(__xludf.DUMMYFUNCTION("""COMPUTED_VALUE"""),"Vanilla planifolia")</f>
        <v>Vanilla planifolia</v>
      </c>
      <c r="E980" s="8"/>
      <c r="F980" s="8" t="str">
        <f>IFERROR(__xludf.DUMMYFUNCTION("""COMPUTED_VALUE"""),"Vanilla")</f>
        <v>Vanilla</v>
      </c>
      <c r="G980" s="8" t="str">
        <f>IFERROR(__xludf.DUMMYFUNCTION("""COMPUTED_VALUE"""),"Vanille")</f>
        <v>Vanille</v>
      </c>
      <c r="H980" s="8" t="str">
        <f>IFERROR(__xludf.DUMMYFUNCTION("""COMPUTED_VALUE"""),"seed")</f>
        <v>seed</v>
      </c>
      <c r="I980" s="8"/>
      <c r="J980" s="8"/>
      <c r="K980" s="8"/>
      <c r="L980" s="8"/>
      <c r="M980" s="8"/>
      <c r="N980" s="8"/>
      <c r="O980" s="8"/>
      <c r="P980" s="8"/>
      <c r="Q980" s="8"/>
      <c r="R980" s="8"/>
      <c r="S980" s="8"/>
      <c r="T980" s="8"/>
      <c r="U980" s="8"/>
      <c r="V980" s="8"/>
      <c r="W980" s="8"/>
      <c r="X980" s="8"/>
      <c r="Y980" s="8"/>
      <c r="Z980" s="8"/>
    </row>
    <row r="981">
      <c r="A981" s="8">
        <f>IFERROR(__xludf.DUMMYFUNCTION("""COMPUTED_VALUE"""),9222.0)</f>
        <v>9222</v>
      </c>
      <c r="B981" s="8" t="str">
        <f>IFERROR(__xludf.DUMMYFUNCTION("""COMPUTED_VALUE"""),"perennial")</f>
        <v>perennial</v>
      </c>
      <c r="C981" s="8" t="str">
        <f>IFERROR(__xludf.DUMMYFUNCTION("""COMPUTED_VALUE"""),"cutting")</f>
        <v>cutting</v>
      </c>
      <c r="D981" s="55" t="str">
        <f>IFERROR(__xludf.DUMMYFUNCTION("""COMPUTED_VALUE"""),"Vanilla planifolia")</f>
        <v>Vanilla planifolia</v>
      </c>
      <c r="E981" s="8"/>
      <c r="F981" s="8" t="str">
        <f>IFERROR(__xludf.DUMMYFUNCTION("""COMPUTED_VALUE"""),"Vanilla")</f>
        <v>Vanilla</v>
      </c>
      <c r="G981" s="8" t="str">
        <f>IFERROR(__xludf.DUMMYFUNCTION("""COMPUTED_VALUE"""),"Vanille")</f>
        <v>Vanille</v>
      </c>
      <c r="H981" s="8" t="str">
        <f>IFERROR(__xludf.DUMMYFUNCTION("""COMPUTED_VALUE"""),"seed")</f>
        <v>seed</v>
      </c>
      <c r="I981" s="8"/>
      <c r="J981" s="8"/>
      <c r="K981" s="8"/>
      <c r="L981" s="8"/>
      <c r="M981" s="8"/>
      <c r="N981" s="8"/>
      <c r="O981" s="8"/>
      <c r="P981" s="8"/>
      <c r="Q981" s="8"/>
      <c r="R981" s="8"/>
      <c r="S981" s="8"/>
      <c r="T981" s="8"/>
      <c r="U981" s="8"/>
      <c r="V981" s="8"/>
      <c r="W981" s="8"/>
      <c r="X981" s="8"/>
      <c r="Y981" s="8"/>
      <c r="Z981" s="8"/>
    </row>
    <row r="982">
      <c r="A982" s="8">
        <f>IFERROR(__xludf.DUMMYFUNCTION("""COMPUTED_VALUE"""),9223.0)</f>
        <v>9223</v>
      </c>
      <c r="B982" s="8" t="str">
        <f>IFERROR(__xludf.DUMMYFUNCTION("""COMPUTED_VALUE"""),"perennial")</f>
        <v>perennial</v>
      </c>
      <c r="C982" s="8" t="str">
        <f>IFERROR(__xludf.DUMMYFUNCTION("""COMPUTED_VALUE"""),"cutting")</f>
        <v>cutting</v>
      </c>
      <c r="D982" s="55" t="str">
        <f>IFERROR(__xludf.DUMMYFUNCTION("""COMPUTED_VALUE"""),"Vanilla planifolia")</f>
        <v>Vanilla planifolia</v>
      </c>
      <c r="E982" s="8"/>
      <c r="F982" s="8" t="str">
        <f>IFERROR(__xludf.DUMMYFUNCTION("""COMPUTED_VALUE"""),"Vanilla")</f>
        <v>Vanilla</v>
      </c>
      <c r="G982" s="8" t="str">
        <f>IFERROR(__xludf.DUMMYFUNCTION("""COMPUTED_VALUE"""),"Vanille")</f>
        <v>Vanille</v>
      </c>
      <c r="H982" s="8" t="str">
        <f>IFERROR(__xludf.DUMMYFUNCTION("""COMPUTED_VALUE"""),"seed")</f>
        <v>seed</v>
      </c>
      <c r="I982" s="8"/>
      <c r="J982" s="8"/>
      <c r="K982" s="8"/>
      <c r="L982" s="8"/>
      <c r="M982" s="8"/>
      <c r="N982" s="8"/>
      <c r="O982" s="8"/>
      <c r="P982" s="8"/>
      <c r="Q982" s="8"/>
      <c r="R982" s="8"/>
      <c r="S982" s="8"/>
      <c r="T982" s="8"/>
      <c r="U982" s="8"/>
      <c r="V982" s="8"/>
      <c r="W982" s="8"/>
      <c r="X982" s="8"/>
      <c r="Y982" s="8"/>
      <c r="Z982" s="8"/>
    </row>
    <row r="983">
      <c r="A983" s="8">
        <f>IFERROR(__xludf.DUMMYFUNCTION("""COMPUTED_VALUE"""),1279.0)</f>
        <v>1279</v>
      </c>
      <c r="B983" s="8" t="str">
        <f>IFERROR(__xludf.DUMMYFUNCTION("""COMPUTED_VALUE"""),"tree")</f>
        <v>tree</v>
      </c>
      <c r="C983" s="8" t="str">
        <f>IFERROR(__xludf.DUMMYFUNCTION("""COMPUTED_VALUE"""),"graft")</f>
        <v>graft</v>
      </c>
      <c r="D983" s="55" t="str">
        <f>IFERROR(__xludf.DUMMYFUNCTION("""COMPUTED_VALUE"""),"Persea americana")</f>
        <v>Persea americana</v>
      </c>
      <c r="E983" s="8" t="str">
        <f>IFERROR(__xludf.DUMMYFUNCTION("""COMPUTED_VALUE"""),"Ronnie")</f>
        <v>Ronnie</v>
      </c>
      <c r="F983" s="8" t="str">
        <f>IFERROR(__xludf.DUMMYFUNCTION("""COMPUTED_VALUE"""),"Avocado")</f>
        <v>Avocado</v>
      </c>
      <c r="G983" s="8" t="str">
        <f>IFERROR(__xludf.DUMMYFUNCTION("""COMPUTED_VALUE"""),"Avocat")</f>
        <v>Avocat</v>
      </c>
      <c r="H983" s="8" t="str">
        <f>IFERROR(__xludf.DUMMYFUNCTION("""COMPUTED_VALUE"""),"Avocado")</f>
        <v>Avocado</v>
      </c>
      <c r="I983" s="8" t="str">
        <f>IFERROR(__xludf.DUMMYFUNCTION("""COMPUTED_VALUE"""),"029A")</f>
        <v>029A</v>
      </c>
      <c r="J983" s="8"/>
      <c r="K983" s="8">
        <f>IFERROR(__xludf.DUMMYFUNCTION("""COMPUTED_VALUE"""),9231.0)</f>
        <v>9231</v>
      </c>
      <c r="L983" s="8">
        <f>IFERROR(__xludf.DUMMYFUNCTION("""COMPUTED_VALUE"""),1.0)</f>
        <v>1</v>
      </c>
      <c r="M983" s="8">
        <f>IFERROR(__xludf.DUMMYFUNCTION("""COMPUTED_VALUE"""),1.0)</f>
        <v>1</v>
      </c>
      <c r="N983" s="8">
        <f>IFERROR(__xludf.DUMMYFUNCTION("""COMPUTED_VALUE"""),2.0)</f>
        <v>2</v>
      </c>
      <c r="O983" s="8"/>
      <c r="P983" s="8"/>
      <c r="Q983" s="8"/>
      <c r="R983" s="8"/>
      <c r="S983" s="8"/>
      <c r="T983" s="8"/>
      <c r="U983" s="8"/>
      <c r="V983" s="8"/>
      <c r="W983" s="8"/>
      <c r="X983" s="8"/>
      <c r="Y983" s="8"/>
      <c r="Z983" s="8"/>
    </row>
    <row r="984">
      <c r="A984" s="8">
        <f>IFERROR(__xludf.DUMMYFUNCTION("""COMPUTED_VALUE"""),9233.0)</f>
        <v>9233</v>
      </c>
      <c r="B984" s="8" t="str">
        <f>IFERROR(__xludf.DUMMYFUNCTION("""COMPUTED_VALUE"""),"perennial")</f>
        <v>perennial</v>
      </c>
      <c r="C984" s="8" t="str">
        <f>IFERROR(__xludf.DUMMYFUNCTION("""COMPUTED_VALUE"""),"cutting")</f>
        <v>cutting</v>
      </c>
      <c r="D984" s="55" t="str">
        <f>IFERROR(__xludf.DUMMYFUNCTION("""COMPUTED_VALUE"""),"Coleus caninus")</f>
        <v>Coleus caninus</v>
      </c>
      <c r="E984" s="8"/>
      <c r="F984" s="8" t="str">
        <f>IFERROR(__xludf.DUMMYFUNCTION("""COMPUTED_VALUE"""),"Tropical Oregano")</f>
        <v>Tropical Oregano</v>
      </c>
      <c r="G984" s="8" t="str">
        <f>IFERROR(__xludf.DUMMYFUNCTION("""COMPUTED_VALUE"""),"Origan tropical (Panadol)")</f>
        <v>Origan tropical (Panadol)</v>
      </c>
      <c r="H984" s="8" t="str">
        <f>IFERROR(__xludf.DUMMYFUNCTION("""COMPUTED_VALUE"""),"Tropical Oregano (Panadol)")</f>
        <v>Tropical Oregano (Panadol)</v>
      </c>
      <c r="I984" s="8"/>
      <c r="J984" s="8"/>
      <c r="K984" s="8"/>
      <c r="L984" s="8"/>
      <c r="M984" s="8"/>
      <c r="N984" s="8"/>
      <c r="O984" s="8"/>
      <c r="P984" s="8"/>
      <c r="Q984" s="8"/>
      <c r="R984" s="8"/>
      <c r="S984" s="8"/>
      <c r="T984" s="8"/>
      <c r="U984" s="8"/>
      <c r="V984" s="8"/>
      <c r="W984" s="8"/>
      <c r="X984" s="8"/>
      <c r="Y984" s="8"/>
      <c r="Z984" s="8"/>
    </row>
    <row r="985">
      <c r="A985" s="8">
        <f>IFERROR(__xludf.DUMMYFUNCTION("""COMPUTED_VALUE"""),9234.0)</f>
        <v>9234</v>
      </c>
      <c r="B985" s="8" t="str">
        <f>IFERROR(__xludf.DUMMYFUNCTION("""COMPUTED_VALUE"""),"perennial")</f>
        <v>perennial</v>
      </c>
      <c r="C985" s="8" t="str">
        <f>IFERROR(__xludf.DUMMYFUNCTION("""COMPUTED_VALUE"""),"cutting")</f>
        <v>cutting</v>
      </c>
      <c r="D985" s="55" t="str">
        <f>IFERROR(__xludf.DUMMYFUNCTION("""COMPUTED_VALUE"""),"Coleus caninus")</f>
        <v>Coleus caninus</v>
      </c>
      <c r="E985" s="8"/>
      <c r="F985" s="8" t="str">
        <f>IFERROR(__xludf.DUMMYFUNCTION("""COMPUTED_VALUE"""),"Tropical Oregano")</f>
        <v>Tropical Oregano</v>
      </c>
      <c r="G985" s="8" t="str">
        <f>IFERROR(__xludf.DUMMYFUNCTION("""COMPUTED_VALUE"""),"Origan tropical (Panadol)")</f>
        <v>Origan tropical (Panadol)</v>
      </c>
      <c r="H985" s="8" t="str">
        <f>IFERROR(__xludf.DUMMYFUNCTION("""COMPUTED_VALUE"""),"Tropical Oregano (Panadol)")</f>
        <v>Tropical Oregano (Panadol)</v>
      </c>
      <c r="I985" s="8"/>
      <c r="J985" s="8"/>
      <c r="K985" s="8"/>
      <c r="L985" s="8"/>
      <c r="M985" s="8"/>
      <c r="N985" s="8"/>
      <c r="O985" s="8"/>
      <c r="P985" s="8"/>
      <c r="Q985" s="8"/>
      <c r="R985" s="8"/>
      <c r="S985" s="8"/>
      <c r="T985" s="8"/>
      <c r="U985" s="8"/>
      <c r="V985" s="8"/>
      <c r="W985" s="8"/>
      <c r="X985" s="8"/>
      <c r="Y985" s="8"/>
      <c r="Z985" s="8"/>
    </row>
    <row r="986">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sheetData>
  <hyperlinks>
    <hyperlink r:id="rId1" ref="D2"/>
    <hyperlink r:id="rId2" ref="D3"/>
    <hyperlink r:id="rId3" ref="D4"/>
    <hyperlink r:id="rId4" ref="D5"/>
    <hyperlink r:id="rId5" ref="D6"/>
    <hyperlink r:id="rId6" ref="D7"/>
    <hyperlink r:id="rId7" ref="D8"/>
    <hyperlink r:id="rId8" ref="D9"/>
    <hyperlink r:id="rId9" ref="D10"/>
    <hyperlink r:id="rId10" ref="D11"/>
    <hyperlink r:id="rId11" ref="D12"/>
    <hyperlink r:id="rId12" ref="D13"/>
    <hyperlink r:id="rId13" ref="D14"/>
    <hyperlink r:id="rId14" ref="D15"/>
    <hyperlink r:id="rId15" ref="D16"/>
    <hyperlink r:id="rId16" ref="D17"/>
    <hyperlink r:id="rId17" ref="D18"/>
    <hyperlink r:id="rId18" ref="D19"/>
    <hyperlink r:id="rId19" ref="D20"/>
    <hyperlink r:id="rId20" ref="D21"/>
    <hyperlink r:id="rId21" ref="D22"/>
    <hyperlink r:id="rId22" ref="D23"/>
    <hyperlink r:id="rId23" ref="D24"/>
    <hyperlink r:id="rId24" ref="D25"/>
    <hyperlink r:id="rId25" ref="D26"/>
    <hyperlink r:id="rId26" ref="D27"/>
    <hyperlink r:id="rId27" ref="D28"/>
    <hyperlink r:id="rId28" ref="D29"/>
    <hyperlink r:id="rId29" ref="D30"/>
    <hyperlink r:id="rId30" ref="D31"/>
    <hyperlink r:id="rId31" ref="D32"/>
    <hyperlink r:id="rId32" ref="D33"/>
    <hyperlink r:id="rId33" ref="D34"/>
    <hyperlink r:id="rId34" ref="D35"/>
    <hyperlink r:id="rId35" ref="D36"/>
    <hyperlink r:id="rId36" ref="D37"/>
    <hyperlink r:id="rId37" ref="D38"/>
    <hyperlink r:id="rId38" ref="D39"/>
    <hyperlink r:id="rId39" ref="D40"/>
    <hyperlink r:id="rId40" ref="D41"/>
    <hyperlink r:id="rId41" ref="D42"/>
    <hyperlink r:id="rId42" ref="D43"/>
    <hyperlink r:id="rId43" ref="D44"/>
    <hyperlink r:id="rId44" ref="D45"/>
    <hyperlink r:id="rId45" ref="D46"/>
    <hyperlink r:id="rId46" ref="D47"/>
    <hyperlink r:id="rId47" ref="D48"/>
    <hyperlink r:id="rId48" ref="D49"/>
    <hyperlink r:id="rId49" ref="D50"/>
    <hyperlink r:id="rId50" ref="D51"/>
    <hyperlink r:id="rId51" ref="D52"/>
    <hyperlink r:id="rId52" ref="D53"/>
    <hyperlink r:id="rId53" ref="D54"/>
    <hyperlink r:id="rId54" ref="D55"/>
    <hyperlink r:id="rId55" ref="D56"/>
    <hyperlink r:id="rId56" ref="D57"/>
    <hyperlink r:id="rId57" ref="D58"/>
    <hyperlink r:id="rId58" ref="D59"/>
    <hyperlink r:id="rId59" ref="D60"/>
    <hyperlink r:id="rId60" ref="D61"/>
    <hyperlink r:id="rId61" ref="D62"/>
    <hyperlink r:id="rId62" ref="D63"/>
    <hyperlink r:id="rId63" ref="D64"/>
    <hyperlink r:id="rId64" ref="D65"/>
    <hyperlink r:id="rId65" ref="D66"/>
    <hyperlink r:id="rId66" ref="D67"/>
    <hyperlink r:id="rId67" ref="D68"/>
    <hyperlink r:id="rId68" ref="D69"/>
    <hyperlink r:id="rId69" ref="D70"/>
    <hyperlink r:id="rId70" ref="D71"/>
    <hyperlink r:id="rId71" ref="D72"/>
    <hyperlink r:id="rId72" ref="D73"/>
    <hyperlink r:id="rId73" ref="D74"/>
    <hyperlink r:id="rId74" ref="D75"/>
    <hyperlink r:id="rId75" ref="D76"/>
    <hyperlink r:id="rId76" ref="D77"/>
    <hyperlink r:id="rId77" ref="D78"/>
    <hyperlink r:id="rId78" ref="D79"/>
    <hyperlink r:id="rId79" ref="D80"/>
    <hyperlink r:id="rId80" ref="D81"/>
    <hyperlink r:id="rId81" ref="D82"/>
    <hyperlink r:id="rId82" ref="D83"/>
    <hyperlink r:id="rId83" ref="D84"/>
    <hyperlink r:id="rId84" ref="D85"/>
    <hyperlink r:id="rId85" ref="D86"/>
    <hyperlink r:id="rId86" ref="D87"/>
    <hyperlink r:id="rId87" ref="D88"/>
    <hyperlink r:id="rId88" ref="D89"/>
    <hyperlink r:id="rId89" ref="D90"/>
    <hyperlink r:id="rId90" ref="D91"/>
    <hyperlink r:id="rId91" ref="D92"/>
    <hyperlink r:id="rId92" ref="D93"/>
    <hyperlink r:id="rId93" ref="D94"/>
    <hyperlink r:id="rId94" ref="D95"/>
    <hyperlink r:id="rId95" ref="D96"/>
    <hyperlink r:id="rId96" ref="D97"/>
    <hyperlink r:id="rId97" ref="D98"/>
    <hyperlink r:id="rId98" ref="D99"/>
    <hyperlink r:id="rId99" ref="D100"/>
    <hyperlink r:id="rId100" ref="D101"/>
    <hyperlink r:id="rId101" ref="D102"/>
    <hyperlink r:id="rId102" ref="D103"/>
    <hyperlink r:id="rId103" ref="D104"/>
    <hyperlink r:id="rId104" ref="D105"/>
    <hyperlink r:id="rId105" ref="D106"/>
    <hyperlink r:id="rId106" ref="D107"/>
    <hyperlink r:id="rId107" ref="D108"/>
    <hyperlink r:id="rId108" ref="D109"/>
    <hyperlink r:id="rId109" ref="D110"/>
    <hyperlink r:id="rId110" ref="D111"/>
    <hyperlink r:id="rId111" ref="D112"/>
    <hyperlink r:id="rId112" ref="D113"/>
    <hyperlink r:id="rId113" ref="D114"/>
    <hyperlink r:id="rId114" ref="D115"/>
    <hyperlink r:id="rId115" ref="D116"/>
    <hyperlink r:id="rId116" ref="D117"/>
    <hyperlink r:id="rId117" ref="D118"/>
    <hyperlink r:id="rId118" ref="D119"/>
    <hyperlink r:id="rId119" ref="D120"/>
    <hyperlink r:id="rId120" ref="D121"/>
    <hyperlink r:id="rId121" ref="D122"/>
    <hyperlink r:id="rId122" ref="D123"/>
    <hyperlink r:id="rId123" ref="D124"/>
    <hyperlink r:id="rId124" ref="D125"/>
    <hyperlink r:id="rId125" ref="D126"/>
    <hyperlink r:id="rId126" ref="D127"/>
    <hyperlink r:id="rId127" ref="D128"/>
    <hyperlink r:id="rId128" ref="D129"/>
    <hyperlink r:id="rId129" ref="D130"/>
    <hyperlink r:id="rId130" ref="D131"/>
    <hyperlink r:id="rId131" ref="D132"/>
    <hyperlink r:id="rId132" ref="D133"/>
    <hyperlink r:id="rId133" ref="D134"/>
    <hyperlink r:id="rId134" ref="D135"/>
    <hyperlink r:id="rId135" ref="D136"/>
    <hyperlink r:id="rId136" ref="D137"/>
    <hyperlink r:id="rId137" ref="D138"/>
    <hyperlink r:id="rId138" ref="D139"/>
    <hyperlink r:id="rId139" ref="D140"/>
    <hyperlink r:id="rId140" ref="D141"/>
    <hyperlink r:id="rId141" ref="D142"/>
    <hyperlink r:id="rId142" ref="D143"/>
    <hyperlink r:id="rId143" ref="D144"/>
    <hyperlink r:id="rId144" ref="D145"/>
    <hyperlink r:id="rId145" ref="D146"/>
    <hyperlink r:id="rId146" ref="D147"/>
    <hyperlink r:id="rId147" ref="D148"/>
    <hyperlink r:id="rId148" ref="D149"/>
    <hyperlink r:id="rId149" ref="D150"/>
    <hyperlink r:id="rId150" ref="D151"/>
    <hyperlink r:id="rId151" ref="D152"/>
    <hyperlink r:id="rId152" ref="D153"/>
    <hyperlink r:id="rId153" ref="D154"/>
    <hyperlink r:id="rId154" ref="D155"/>
    <hyperlink r:id="rId155" ref="D156"/>
    <hyperlink r:id="rId156" ref="D157"/>
    <hyperlink r:id="rId157" ref="D158"/>
    <hyperlink r:id="rId158" ref="D159"/>
    <hyperlink r:id="rId159" ref="D160"/>
    <hyperlink r:id="rId160" ref="D161"/>
    <hyperlink r:id="rId161" ref="D162"/>
    <hyperlink r:id="rId162" ref="D163"/>
    <hyperlink r:id="rId163" ref="D164"/>
    <hyperlink r:id="rId164" ref="D165"/>
    <hyperlink r:id="rId165" ref="D166"/>
    <hyperlink r:id="rId166" ref="D167"/>
    <hyperlink r:id="rId167" ref="D168"/>
    <hyperlink r:id="rId168" ref="D169"/>
    <hyperlink r:id="rId169" ref="D170"/>
    <hyperlink r:id="rId170" ref="D171"/>
    <hyperlink r:id="rId171" ref="D172"/>
    <hyperlink r:id="rId172" ref="D173"/>
    <hyperlink r:id="rId173" ref="D174"/>
    <hyperlink r:id="rId174" ref="D175"/>
    <hyperlink r:id="rId175" ref="D176"/>
    <hyperlink r:id="rId176" ref="D177"/>
    <hyperlink r:id="rId177" ref="D178"/>
    <hyperlink r:id="rId178" ref="D179"/>
    <hyperlink r:id="rId179" ref="D180"/>
    <hyperlink r:id="rId180" ref="D181"/>
    <hyperlink r:id="rId181" ref="D182"/>
    <hyperlink r:id="rId182" ref="D183"/>
    <hyperlink r:id="rId183" ref="D184"/>
    <hyperlink r:id="rId184" ref="D185"/>
    <hyperlink r:id="rId185" ref="D186"/>
    <hyperlink r:id="rId186" ref="D187"/>
    <hyperlink r:id="rId187" ref="D188"/>
    <hyperlink r:id="rId188" ref="D189"/>
    <hyperlink r:id="rId189" ref="D190"/>
    <hyperlink r:id="rId190" ref="D191"/>
    <hyperlink r:id="rId191" ref="D192"/>
    <hyperlink r:id="rId192" ref="D193"/>
    <hyperlink r:id="rId193" ref="D194"/>
    <hyperlink r:id="rId194" ref="D195"/>
    <hyperlink r:id="rId195" ref="D196"/>
    <hyperlink r:id="rId196" ref="D197"/>
    <hyperlink r:id="rId197" ref="D198"/>
    <hyperlink r:id="rId198" ref="D199"/>
    <hyperlink r:id="rId199" ref="D200"/>
    <hyperlink r:id="rId200" ref="D201"/>
    <hyperlink r:id="rId201" ref="D202"/>
    <hyperlink r:id="rId202" ref="D203"/>
    <hyperlink r:id="rId203" ref="D204"/>
    <hyperlink r:id="rId204" ref="D205"/>
    <hyperlink r:id="rId205" ref="D206"/>
    <hyperlink r:id="rId206" ref="D207"/>
    <hyperlink r:id="rId207" ref="D208"/>
    <hyperlink r:id="rId208" ref="D209"/>
    <hyperlink r:id="rId209" ref="D210"/>
    <hyperlink r:id="rId210" ref="D211"/>
    <hyperlink r:id="rId211" ref="D212"/>
    <hyperlink r:id="rId212" ref="D213"/>
    <hyperlink r:id="rId213" ref="D214"/>
    <hyperlink r:id="rId214" ref="D215"/>
    <hyperlink r:id="rId215" ref="D216"/>
    <hyperlink r:id="rId216" ref="D217"/>
    <hyperlink r:id="rId217" ref="D218"/>
    <hyperlink r:id="rId218" ref="D219"/>
    <hyperlink r:id="rId219" ref="D220"/>
    <hyperlink r:id="rId220" ref="D221"/>
    <hyperlink r:id="rId221" ref="D222"/>
    <hyperlink r:id="rId222" ref="D223"/>
    <hyperlink r:id="rId223" ref="D224"/>
    <hyperlink r:id="rId224" ref="D225"/>
    <hyperlink r:id="rId225" ref="D226"/>
    <hyperlink r:id="rId226" ref="D227"/>
    <hyperlink r:id="rId227" ref="D228"/>
    <hyperlink r:id="rId228" ref="D229"/>
    <hyperlink r:id="rId229" ref="D230"/>
    <hyperlink r:id="rId230" ref="D231"/>
    <hyperlink r:id="rId231" ref="D232"/>
    <hyperlink r:id="rId232" ref="D233"/>
    <hyperlink r:id="rId233" ref="D234"/>
    <hyperlink r:id="rId234" ref="D235"/>
    <hyperlink r:id="rId235" ref="D236"/>
    <hyperlink r:id="rId236" ref="D237"/>
    <hyperlink r:id="rId237" ref="D238"/>
    <hyperlink r:id="rId238" ref="D239"/>
    <hyperlink r:id="rId239" ref="D240"/>
    <hyperlink r:id="rId240" ref="D241"/>
    <hyperlink r:id="rId241" ref="D242"/>
    <hyperlink r:id="rId242" ref="D243"/>
    <hyperlink r:id="rId243" ref="D244"/>
    <hyperlink r:id="rId244" ref="D245"/>
    <hyperlink r:id="rId245" ref="D246"/>
    <hyperlink r:id="rId246" ref="D247"/>
    <hyperlink r:id="rId247" ref="D248"/>
    <hyperlink r:id="rId248" ref="D249"/>
    <hyperlink r:id="rId249" ref="D250"/>
    <hyperlink r:id="rId250" ref="D251"/>
    <hyperlink r:id="rId251" ref="D252"/>
    <hyperlink r:id="rId252" ref="D253"/>
    <hyperlink r:id="rId253" ref="D254"/>
    <hyperlink r:id="rId254" ref="D255"/>
    <hyperlink r:id="rId255" ref="D256"/>
    <hyperlink r:id="rId256" ref="D257"/>
    <hyperlink r:id="rId257" ref="D258"/>
    <hyperlink r:id="rId258" ref="D259"/>
    <hyperlink r:id="rId259" ref="D260"/>
    <hyperlink r:id="rId260" ref="D261"/>
    <hyperlink r:id="rId261" ref="D262"/>
    <hyperlink r:id="rId262" ref="D263"/>
    <hyperlink r:id="rId263" ref="D264"/>
    <hyperlink r:id="rId264" ref="D265"/>
    <hyperlink r:id="rId265" ref="D266"/>
    <hyperlink r:id="rId266" ref="D267"/>
    <hyperlink r:id="rId267" ref="D268"/>
    <hyperlink r:id="rId268" ref="D269"/>
    <hyperlink r:id="rId269" ref="D270"/>
    <hyperlink r:id="rId270" ref="D271"/>
    <hyperlink r:id="rId271" ref="D272"/>
    <hyperlink r:id="rId272" ref="D273"/>
    <hyperlink r:id="rId273" ref="D274"/>
    <hyperlink r:id="rId274" ref="D275"/>
    <hyperlink r:id="rId275" ref="D276"/>
    <hyperlink r:id="rId276" ref="D277"/>
    <hyperlink r:id="rId277" ref="D278"/>
    <hyperlink r:id="rId278" ref="D279"/>
    <hyperlink r:id="rId279" ref="D280"/>
    <hyperlink r:id="rId280" ref="D281"/>
    <hyperlink r:id="rId281" ref="D282"/>
    <hyperlink r:id="rId282" ref="D283"/>
    <hyperlink r:id="rId283" ref="D284"/>
    <hyperlink r:id="rId284" ref="D285"/>
    <hyperlink r:id="rId285" ref="D286"/>
    <hyperlink r:id="rId286" ref="D287"/>
    <hyperlink r:id="rId287" ref="D288"/>
    <hyperlink r:id="rId288" ref="D289"/>
    <hyperlink r:id="rId289" ref="D290"/>
    <hyperlink r:id="rId290" ref="D291"/>
    <hyperlink r:id="rId291" ref="D292"/>
    <hyperlink r:id="rId292" ref="D293"/>
    <hyperlink r:id="rId293" ref="D294"/>
    <hyperlink r:id="rId294" ref="D295"/>
    <hyperlink r:id="rId295" ref="D296"/>
    <hyperlink r:id="rId296" ref="D297"/>
    <hyperlink r:id="rId297" ref="D298"/>
    <hyperlink r:id="rId298" ref="D299"/>
    <hyperlink r:id="rId299" ref="D300"/>
    <hyperlink r:id="rId300" ref="D301"/>
    <hyperlink r:id="rId301" ref="D302"/>
    <hyperlink r:id="rId302" ref="D303"/>
    <hyperlink r:id="rId303" ref="D304"/>
    <hyperlink r:id="rId304" ref="D305"/>
    <hyperlink r:id="rId305" ref="D306"/>
    <hyperlink r:id="rId306" ref="D307"/>
    <hyperlink r:id="rId307" ref="D308"/>
    <hyperlink r:id="rId308" ref="D309"/>
    <hyperlink r:id="rId309" ref="D310"/>
    <hyperlink r:id="rId310" ref="D311"/>
    <hyperlink r:id="rId311" ref="D312"/>
    <hyperlink r:id="rId312" ref="D313"/>
    <hyperlink r:id="rId313" ref="D314"/>
    <hyperlink r:id="rId314" ref="D315"/>
    <hyperlink r:id="rId315" ref="D316"/>
    <hyperlink r:id="rId316" ref="D318"/>
    <hyperlink r:id="rId317" ref="D319"/>
    <hyperlink r:id="rId318" ref="D321"/>
    <hyperlink r:id="rId319" ref="D322"/>
    <hyperlink r:id="rId320" ref="D323"/>
    <hyperlink r:id="rId321" ref="D324"/>
    <hyperlink r:id="rId322" ref="D326"/>
    <hyperlink r:id="rId323" ref="D327"/>
    <hyperlink r:id="rId324" ref="D328"/>
    <hyperlink r:id="rId325" ref="D329"/>
    <hyperlink r:id="rId326" ref="D330"/>
    <hyperlink r:id="rId327" ref="D331"/>
    <hyperlink r:id="rId328" ref="D332"/>
    <hyperlink r:id="rId329" ref="D333"/>
    <hyperlink r:id="rId330" ref="D334"/>
    <hyperlink r:id="rId331" ref="D337"/>
    <hyperlink r:id="rId332" ref="D338"/>
    <hyperlink r:id="rId333" ref="D339"/>
    <hyperlink r:id="rId334" ref="D340"/>
    <hyperlink r:id="rId335" ref="D343"/>
    <hyperlink r:id="rId336" ref="D344"/>
    <hyperlink r:id="rId337" ref="D345"/>
    <hyperlink r:id="rId338" ref="D346"/>
    <hyperlink r:id="rId339" ref="D347"/>
    <hyperlink r:id="rId340" ref="D348"/>
    <hyperlink r:id="rId341" ref="D349"/>
    <hyperlink r:id="rId342" ref="D350"/>
    <hyperlink r:id="rId343" ref="D351"/>
    <hyperlink r:id="rId344" ref="D354"/>
    <hyperlink r:id="rId345" ref="D355"/>
    <hyperlink r:id="rId346" ref="D356"/>
    <hyperlink r:id="rId347" ref="D357"/>
    <hyperlink r:id="rId348" ref="D358"/>
    <hyperlink r:id="rId349" ref="D359"/>
    <hyperlink r:id="rId350" ref="D360"/>
    <hyperlink r:id="rId351" ref="D361"/>
    <hyperlink r:id="rId352" ref="D362"/>
    <hyperlink r:id="rId353" ref="D363"/>
    <hyperlink r:id="rId354" ref="D364"/>
    <hyperlink r:id="rId355" ref="D365"/>
    <hyperlink r:id="rId356" ref="D366"/>
    <hyperlink r:id="rId357" ref="D367"/>
    <hyperlink r:id="rId358" ref="D368"/>
    <hyperlink r:id="rId359" ref="D370"/>
    <hyperlink r:id="rId360" ref="D371"/>
    <hyperlink r:id="rId361" ref="D372"/>
    <hyperlink r:id="rId362" ref="D373"/>
    <hyperlink r:id="rId363" ref="D374"/>
    <hyperlink r:id="rId364" ref="D375"/>
    <hyperlink r:id="rId365" ref="D376"/>
    <hyperlink r:id="rId366" ref="D377"/>
    <hyperlink r:id="rId367" ref="D378"/>
    <hyperlink r:id="rId368" ref="D379"/>
    <hyperlink r:id="rId369" ref="D380"/>
    <hyperlink r:id="rId370" ref="D381"/>
    <hyperlink r:id="rId371" ref="D382"/>
    <hyperlink r:id="rId372" ref="D383"/>
    <hyperlink r:id="rId373" ref="D384"/>
    <hyperlink r:id="rId374" ref="D385"/>
    <hyperlink r:id="rId375" ref="D386"/>
    <hyperlink r:id="rId376" ref="D387"/>
    <hyperlink r:id="rId377" ref="D388"/>
    <hyperlink r:id="rId378" ref="D389"/>
    <hyperlink r:id="rId379" ref="D390"/>
    <hyperlink r:id="rId380" ref="D391"/>
    <hyperlink r:id="rId381" ref="D392"/>
    <hyperlink r:id="rId382" ref="D393"/>
    <hyperlink r:id="rId383" ref="D394"/>
    <hyperlink r:id="rId384" ref="D395"/>
    <hyperlink r:id="rId385" ref="D396"/>
    <hyperlink r:id="rId386" ref="D397"/>
    <hyperlink r:id="rId387" ref="D398"/>
    <hyperlink r:id="rId388" ref="D399"/>
    <hyperlink r:id="rId389" ref="D400"/>
    <hyperlink r:id="rId390" ref="D401"/>
    <hyperlink r:id="rId391" ref="D402"/>
    <hyperlink r:id="rId392" ref="D403"/>
    <hyperlink r:id="rId393" ref="D404"/>
    <hyperlink r:id="rId394" ref="D405"/>
    <hyperlink r:id="rId395" ref="D406"/>
    <hyperlink r:id="rId396" ref="D407"/>
    <hyperlink r:id="rId397" ref="D408"/>
    <hyperlink r:id="rId398" ref="D409"/>
    <hyperlink r:id="rId399" ref="D410"/>
    <hyperlink r:id="rId400" ref="D411"/>
    <hyperlink r:id="rId401" ref="D412"/>
    <hyperlink r:id="rId402" ref="D413"/>
    <hyperlink r:id="rId403" ref="D415"/>
    <hyperlink r:id="rId404" ref="D416"/>
    <hyperlink r:id="rId405" ref="D417"/>
    <hyperlink r:id="rId406" ref="D418"/>
    <hyperlink r:id="rId407" ref="D419"/>
    <hyperlink r:id="rId408" ref="D420"/>
    <hyperlink r:id="rId409" ref="D421"/>
    <hyperlink r:id="rId410" ref="D422"/>
    <hyperlink r:id="rId411" ref="D423"/>
    <hyperlink r:id="rId412" ref="D424"/>
    <hyperlink r:id="rId413" ref="D425"/>
    <hyperlink r:id="rId414" ref="D426"/>
    <hyperlink r:id="rId415" ref="D427"/>
    <hyperlink r:id="rId416" ref="D428"/>
    <hyperlink r:id="rId417" ref="D429"/>
    <hyperlink r:id="rId418" ref="D430"/>
    <hyperlink r:id="rId419" ref="D431"/>
    <hyperlink r:id="rId420" ref="D432"/>
    <hyperlink r:id="rId421" ref="D433"/>
    <hyperlink r:id="rId422" ref="D434"/>
    <hyperlink r:id="rId423" ref="D435"/>
    <hyperlink r:id="rId424" ref="D436"/>
    <hyperlink r:id="rId425" ref="D437"/>
    <hyperlink r:id="rId426" ref="D438"/>
    <hyperlink r:id="rId427" ref="D439"/>
    <hyperlink r:id="rId428" ref="D440"/>
    <hyperlink r:id="rId429" ref="D441"/>
    <hyperlink r:id="rId430" ref="D442"/>
    <hyperlink r:id="rId431" ref="D443"/>
    <hyperlink r:id="rId432" ref="D444"/>
    <hyperlink r:id="rId433" ref="D445"/>
    <hyperlink r:id="rId434" ref="D446"/>
    <hyperlink r:id="rId435" ref="D447"/>
    <hyperlink r:id="rId436" ref="D448"/>
    <hyperlink r:id="rId437" ref="D449"/>
    <hyperlink r:id="rId438" ref="D450"/>
    <hyperlink r:id="rId439" ref="D451"/>
    <hyperlink r:id="rId440" ref="D452"/>
    <hyperlink r:id="rId441" ref="D453"/>
    <hyperlink r:id="rId442" ref="D454"/>
    <hyperlink r:id="rId443" ref="D455"/>
    <hyperlink r:id="rId444" ref="D456"/>
    <hyperlink r:id="rId445" ref="D457"/>
    <hyperlink r:id="rId446" ref="D458"/>
    <hyperlink r:id="rId447" ref="E458"/>
    <hyperlink r:id="rId448" ref="D459"/>
    <hyperlink r:id="rId449" ref="E459"/>
    <hyperlink r:id="rId450" ref="D460"/>
    <hyperlink r:id="rId451" ref="E460"/>
    <hyperlink r:id="rId452" ref="D461"/>
    <hyperlink r:id="rId453" ref="E461"/>
    <hyperlink r:id="rId454" ref="D462"/>
    <hyperlink r:id="rId455" ref="E462"/>
    <hyperlink r:id="rId456" ref="D463"/>
    <hyperlink r:id="rId457" ref="D464"/>
    <hyperlink r:id="rId458" ref="D465"/>
    <hyperlink r:id="rId459" ref="D466"/>
    <hyperlink r:id="rId460" ref="D467"/>
    <hyperlink r:id="rId461" ref="D468"/>
    <hyperlink r:id="rId462" ref="D469"/>
    <hyperlink r:id="rId463" ref="D470"/>
    <hyperlink r:id="rId464" ref="D471"/>
    <hyperlink r:id="rId465" ref="D472"/>
    <hyperlink r:id="rId466" ref="E472"/>
    <hyperlink r:id="rId467" ref="D473"/>
    <hyperlink r:id="rId468" ref="E473"/>
    <hyperlink r:id="rId469" ref="D474"/>
    <hyperlink r:id="rId470" ref="E474"/>
    <hyperlink r:id="rId471" ref="D475"/>
    <hyperlink r:id="rId472" ref="E475"/>
    <hyperlink r:id="rId473" ref="D476"/>
    <hyperlink r:id="rId474" ref="E476"/>
    <hyperlink r:id="rId475" ref="D477"/>
    <hyperlink r:id="rId476" ref="D478"/>
    <hyperlink r:id="rId477" ref="D479"/>
    <hyperlink r:id="rId478" ref="D480"/>
    <hyperlink r:id="rId479" ref="D481"/>
    <hyperlink r:id="rId480" ref="D482"/>
    <hyperlink r:id="rId481" ref="D483"/>
    <hyperlink r:id="rId482" ref="D484"/>
    <hyperlink r:id="rId483" ref="D485"/>
    <hyperlink r:id="rId484" ref="D486"/>
    <hyperlink r:id="rId485" ref="D487"/>
    <hyperlink r:id="rId486" ref="D488"/>
    <hyperlink r:id="rId487" ref="D489"/>
    <hyperlink r:id="rId488" ref="D490"/>
    <hyperlink r:id="rId489" ref="D491"/>
    <hyperlink r:id="rId490" ref="D492"/>
    <hyperlink r:id="rId491" ref="D493"/>
    <hyperlink r:id="rId492" ref="D494"/>
    <hyperlink r:id="rId493" ref="D495"/>
    <hyperlink r:id="rId494" ref="D496"/>
    <hyperlink r:id="rId495" ref="D497"/>
    <hyperlink r:id="rId496" ref="D498"/>
    <hyperlink r:id="rId497" ref="D499"/>
    <hyperlink r:id="rId498" ref="D500"/>
    <hyperlink r:id="rId499" ref="D501"/>
    <hyperlink r:id="rId500" ref="D502"/>
    <hyperlink r:id="rId501" ref="D504"/>
    <hyperlink r:id="rId502" ref="D505"/>
    <hyperlink r:id="rId503" ref="D506"/>
    <hyperlink r:id="rId504" ref="D507"/>
    <hyperlink r:id="rId505" ref="D508"/>
    <hyperlink r:id="rId506" ref="D509"/>
    <hyperlink r:id="rId507" ref="D510"/>
    <hyperlink r:id="rId508" ref="D511"/>
    <hyperlink r:id="rId509" ref="D513"/>
    <hyperlink r:id="rId510" ref="D514"/>
    <hyperlink r:id="rId511" ref="D515"/>
    <hyperlink r:id="rId512" ref="D516"/>
    <hyperlink r:id="rId513" ref="D517"/>
    <hyperlink r:id="rId514" ref="E517"/>
    <hyperlink r:id="rId515" ref="D518"/>
    <hyperlink r:id="rId516" ref="D519"/>
    <hyperlink r:id="rId517" ref="D520"/>
    <hyperlink r:id="rId518" ref="D521"/>
    <hyperlink r:id="rId519" ref="D522"/>
    <hyperlink r:id="rId520" ref="D523"/>
    <hyperlink r:id="rId521" ref="D524"/>
    <hyperlink r:id="rId522" ref="D525"/>
    <hyperlink r:id="rId523" ref="D526"/>
    <hyperlink r:id="rId524" ref="D527"/>
    <hyperlink r:id="rId525" ref="D528"/>
    <hyperlink r:id="rId526" ref="D529"/>
    <hyperlink r:id="rId527" ref="D530"/>
    <hyperlink r:id="rId528" ref="D531"/>
    <hyperlink r:id="rId529" ref="D532"/>
    <hyperlink r:id="rId530" ref="D533"/>
    <hyperlink r:id="rId531" ref="D534"/>
    <hyperlink r:id="rId532" ref="D535"/>
    <hyperlink r:id="rId533" ref="D536"/>
    <hyperlink r:id="rId534" ref="D537"/>
    <hyperlink r:id="rId535" ref="D538"/>
    <hyperlink r:id="rId536" ref="D539"/>
    <hyperlink r:id="rId537" ref="D540"/>
    <hyperlink r:id="rId538" ref="D541"/>
    <hyperlink r:id="rId539" ref="D542"/>
    <hyperlink r:id="rId540" ref="D543"/>
    <hyperlink r:id="rId541" ref="D544"/>
    <hyperlink r:id="rId542" ref="D545"/>
    <hyperlink r:id="rId543" ref="D546"/>
    <hyperlink r:id="rId544" ref="D547"/>
    <hyperlink r:id="rId545" ref="D548"/>
    <hyperlink r:id="rId546" ref="D549"/>
    <hyperlink r:id="rId547" ref="D550"/>
    <hyperlink r:id="rId548" ref="D551"/>
    <hyperlink r:id="rId549" ref="D552"/>
    <hyperlink r:id="rId550" ref="D553"/>
    <hyperlink r:id="rId551" ref="D554"/>
    <hyperlink r:id="rId552" ref="D555"/>
    <hyperlink r:id="rId553" ref="D556"/>
    <hyperlink r:id="rId554" ref="D557"/>
    <hyperlink r:id="rId555" ref="D558"/>
    <hyperlink r:id="rId556" ref="D559"/>
    <hyperlink r:id="rId557" ref="D560"/>
    <hyperlink r:id="rId558" ref="D561"/>
    <hyperlink r:id="rId559" ref="D562"/>
    <hyperlink r:id="rId560" ref="D563"/>
    <hyperlink r:id="rId561" ref="D564"/>
    <hyperlink r:id="rId562" ref="D565"/>
    <hyperlink r:id="rId563" ref="D566"/>
    <hyperlink r:id="rId564" ref="D567"/>
    <hyperlink r:id="rId565" ref="D568"/>
    <hyperlink r:id="rId566" ref="D569"/>
    <hyperlink r:id="rId567" ref="D570"/>
    <hyperlink r:id="rId568" ref="D571"/>
    <hyperlink r:id="rId569" ref="D572"/>
    <hyperlink r:id="rId570" ref="D574"/>
    <hyperlink r:id="rId571" ref="D575"/>
    <hyperlink r:id="rId572" ref="D576"/>
    <hyperlink r:id="rId573" ref="D577"/>
    <hyperlink r:id="rId574" ref="D578"/>
    <hyperlink r:id="rId575" ref="D579"/>
    <hyperlink r:id="rId576" ref="D580"/>
    <hyperlink r:id="rId577" ref="D581"/>
    <hyperlink r:id="rId578" ref="D582"/>
    <hyperlink r:id="rId579" ref="D583"/>
    <hyperlink r:id="rId580" ref="D584"/>
    <hyperlink r:id="rId581" ref="D585"/>
    <hyperlink r:id="rId582" ref="D586"/>
    <hyperlink r:id="rId583" ref="D587"/>
    <hyperlink r:id="rId584" ref="D588"/>
    <hyperlink r:id="rId585" ref="D589"/>
    <hyperlink r:id="rId586" ref="D590"/>
    <hyperlink r:id="rId587" ref="D591"/>
    <hyperlink r:id="rId588" ref="D592"/>
    <hyperlink r:id="rId589" ref="D593"/>
    <hyperlink r:id="rId590" ref="D594"/>
    <hyperlink r:id="rId591" ref="D595"/>
    <hyperlink r:id="rId592" ref="D596"/>
    <hyperlink r:id="rId593" ref="D597"/>
    <hyperlink r:id="rId594" ref="D598"/>
    <hyperlink r:id="rId595" ref="D599"/>
    <hyperlink r:id="rId596" ref="D600"/>
    <hyperlink r:id="rId597" ref="D601"/>
    <hyperlink r:id="rId598" ref="D602"/>
    <hyperlink r:id="rId599" ref="D603"/>
    <hyperlink r:id="rId600" ref="D604"/>
    <hyperlink r:id="rId601" ref="D605"/>
    <hyperlink r:id="rId602" ref="D606"/>
    <hyperlink r:id="rId603" ref="D607"/>
    <hyperlink r:id="rId604" ref="D608"/>
    <hyperlink r:id="rId605" ref="D609"/>
    <hyperlink r:id="rId606" location="Annona_muricata" ref="D610"/>
    <hyperlink r:id="rId607" location="Annona_muricata" ref="D611"/>
    <hyperlink r:id="rId608" location="Annona_muricata" ref="D612"/>
    <hyperlink r:id="rId609" location="Annona_muricata" ref="D613"/>
    <hyperlink r:id="rId610" location="Annona_muricata" ref="D614"/>
    <hyperlink r:id="rId611" location="Annona_muricata" ref="D615"/>
    <hyperlink r:id="rId612" location="Annona_muricata" ref="D616"/>
    <hyperlink r:id="rId613" location="Annona_muricata" ref="D617"/>
    <hyperlink r:id="rId614" location="Annona_muricata" ref="D618"/>
    <hyperlink r:id="rId615" location="Annona_muricata" ref="D619"/>
    <hyperlink r:id="rId616" location="Annona_muricata" ref="D620"/>
    <hyperlink r:id="rId617" location="Annona_muricata" ref="D621"/>
    <hyperlink r:id="rId618" location="Annona_muricata" ref="D622"/>
    <hyperlink r:id="rId619" location="Annona_muricata" ref="D623"/>
    <hyperlink r:id="rId620" location="Annona_muricata" ref="D624"/>
    <hyperlink r:id="rId621" location="Annona_muricata" ref="D625"/>
    <hyperlink r:id="rId622" location="Annona_muricata" ref="D626"/>
    <hyperlink r:id="rId623" location="Annona_muricata" ref="D627"/>
    <hyperlink r:id="rId624" location="Annona_muricata" ref="D628"/>
    <hyperlink r:id="rId625" location="Annona_muricata" ref="D629"/>
    <hyperlink r:id="rId626" location="Annona_muricata" ref="D630"/>
    <hyperlink r:id="rId627" location="Annona_muricata" ref="D631"/>
    <hyperlink r:id="rId628" location="Annona_muricata" ref="D632"/>
    <hyperlink r:id="rId629" location="Annona_muricata" ref="D633"/>
    <hyperlink r:id="rId630" location="Annona_muricata" ref="D634"/>
    <hyperlink r:id="rId631" location="Annona_muricata" ref="D635"/>
    <hyperlink r:id="rId632" location="Annona_muricata" ref="D636"/>
    <hyperlink r:id="rId633" location="Annona_muricata" ref="D637"/>
    <hyperlink r:id="rId634" location="Annona_muricata" ref="D638"/>
    <hyperlink r:id="rId635" location="Annona_muricata" ref="D639"/>
    <hyperlink r:id="rId636" location="Annona_muricata" ref="D640"/>
    <hyperlink r:id="rId637" location="Annona_muricata" ref="D641"/>
    <hyperlink r:id="rId638" location="Annona_muricata" ref="D642"/>
    <hyperlink r:id="rId639" location="Annona_muricata" ref="D643"/>
    <hyperlink r:id="rId640" location="Annona_muricata" ref="D644"/>
    <hyperlink r:id="rId641" location="Annona_muricata" ref="D645"/>
    <hyperlink r:id="rId642" location="Annona_muricata" ref="D646"/>
    <hyperlink r:id="rId643" location="Annona_muricata" ref="D647"/>
    <hyperlink r:id="rId644" location="Annona_muricata" ref="D648"/>
    <hyperlink r:id="rId645" location="Annona_muricata" ref="D649"/>
    <hyperlink r:id="rId646" location="Annona_muricata" ref="D650"/>
    <hyperlink r:id="rId647" location="Annona_muricata" ref="D651"/>
    <hyperlink r:id="rId648" location="Annona_muricata" ref="D652"/>
    <hyperlink r:id="rId649" location="Annona_muricata" ref="D653"/>
    <hyperlink r:id="rId650" location="Annona_muricata" ref="D654"/>
    <hyperlink r:id="rId651" location="Annona_muricata" ref="D655"/>
    <hyperlink r:id="rId652" location="Annona_muricata" ref="D656"/>
    <hyperlink r:id="rId653" location="Annona_muricata" ref="D657"/>
    <hyperlink r:id="rId654" location="Annona_muricata" ref="D658"/>
    <hyperlink r:id="rId655" location="Annona_muricata" ref="D659"/>
    <hyperlink r:id="rId656" location="Annona_muricata" ref="D660"/>
    <hyperlink r:id="rId657" location="Annona_muricata" ref="D661"/>
    <hyperlink r:id="rId658" location="Annona_muricata" ref="D662"/>
    <hyperlink r:id="rId659" location="Annona_muricata" ref="D663"/>
    <hyperlink r:id="rId660" location="Annona_muricata" ref="D664"/>
    <hyperlink r:id="rId661" location="Annona_muricata" ref="D665"/>
    <hyperlink r:id="rId662" location="Annona_muricata" ref="D666"/>
    <hyperlink r:id="rId663" location="Annona_muricata" ref="D667"/>
    <hyperlink r:id="rId664" location="Annona_muricata" ref="D668"/>
    <hyperlink r:id="rId665" location="Annona_muricata" ref="D669"/>
    <hyperlink r:id="rId666" location="Annona_muricata" ref="D670"/>
    <hyperlink r:id="rId667" location="Annona_muricata" ref="D671"/>
    <hyperlink r:id="rId668" location="Annona_muricata" ref="D672"/>
    <hyperlink r:id="rId669" location="Annona_muricata" ref="D673"/>
    <hyperlink r:id="rId670" location="Annona_muricata" ref="D674"/>
    <hyperlink r:id="rId671" location="Annona_muricata" ref="D675"/>
    <hyperlink r:id="rId672" location="Annona_muricata" ref="D676"/>
    <hyperlink r:id="rId673" location="Annona_muricata" ref="D677"/>
    <hyperlink r:id="rId674" location="Annona_muricata" ref="D678"/>
    <hyperlink r:id="rId675" location="Annona_muricata" ref="D679"/>
    <hyperlink r:id="rId676" ref="D680"/>
    <hyperlink r:id="rId677" ref="D681"/>
    <hyperlink r:id="rId678" ref="D682"/>
    <hyperlink r:id="rId679" ref="D683"/>
    <hyperlink r:id="rId680" ref="D684"/>
    <hyperlink r:id="rId681" ref="D685"/>
    <hyperlink r:id="rId682" ref="D686"/>
    <hyperlink r:id="rId683" ref="D687"/>
    <hyperlink r:id="rId684" ref="D688"/>
    <hyperlink r:id="rId685" ref="D689"/>
    <hyperlink r:id="rId686" ref="D690"/>
    <hyperlink r:id="rId687" ref="D691"/>
    <hyperlink r:id="rId688" ref="D692"/>
    <hyperlink r:id="rId689" ref="D693"/>
    <hyperlink r:id="rId690" ref="D694"/>
    <hyperlink r:id="rId691" ref="D695"/>
    <hyperlink r:id="rId692" ref="D696"/>
    <hyperlink r:id="rId693" ref="D697"/>
    <hyperlink r:id="rId694" ref="D698"/>
    <hyperlink r:id="rId695" ref="D699"/>
    <hyperlink r:id="rId696" ref="D700"/>
    <hyperlink r:id="rId697" ref="D701"/>
    <hyperlink r:id="rId698" ref="D702"/>
    <hyperlink r:id="rId699" ref="D703"/>
    <hyperlink r:id="rId700" ref="D704"/>
    <hyperlink r:id="rId701" ref="D705"/>
    <hyperlink r:id="rId702" ref="D706"/>
    <hyperlink r:id="rId703" ref="D707"/>
    <hyperlink r:id="rId704" ref="D708"/>
    <hyperlink r:id="rId705" ref="D709"/>
    <hyperlink r:id="rId706" ref="D710"/>
    <hyperlink r:id="rId707" ref="D711"/>
    <hyperlink r:id="rId708" ref="D712"/>
    <hyperlink r:id="rId709" ref="D713"/>
    <hyperlink r:id="rId710" ref="D714"/>
    <hyperlink r:id="rId711" ref="D715"/>
    <hyperlink r:id="rId712" ref="D716"/>
    <hyperlink r:id="rId713" ref="D717"/>
    <hyperlink r:id="rId714" ref="D718"/>
    <hyperlink r:id="rId715" ref="D719"/>
    <hyperlink r:id="rId716" ref="D720"/>
    <hyperlink r:id="rId717" ref="D721"/>
    <hyperlink r:id="rId718" ref="D722"/>
    <hyperlink r:id="rId719" ref="D723"/>
    <hyperlink r:id="rId720" ref="D724"/>
    <hyperlink r:id="rId721" ref="D725"/>
    <hyperlink r:id="rId722" ref="D726"/>
    <hyperlink r:id="rId723" ref="D727"/>
    <hyperlink r:id="rId724" ref="D728"/>
    <hyperlink r:id="rId725" ref="D729"/>
    <hyperlink r:id="rId726" ref="D730"/>
    <hyperlink r:id="rId727" ref="D731"/>
    <hyperlink r:id="rId728" ref="D732"/>
    <hyperlink r:id="rId729" ref="D733"/>
    <hyperlink r:id="rId730" ref="D734"/>
    <hyperlink r:id="rId731" ref="D735"/>
    <hyperlink r:id="rId732" ref="D736"/>
    <hyperlink r:id="rId733" ref="D737"/>
    <hyperlink r:id="rId734" ref="D738"/>
    <hyperlink r:id="rId735" ref="D739"/>
    <hyperlink r:id="rId736" ref="D740"/>
    <hyperlink r:id="rId737" ref="D741"/>
    <hyperlink r:id="rId738" ref="D742"/>
    <hyperlink r:id="rId739" ref="D743"/>
    <hyperlink r:id="rId740" ref="D744"/>
    <hyperlink r:id="rId741" ref="D745"/>
    <hyperlink r:id="rId742" ref="D746"/>
    <hyperlink r:id="rId743" ref="D747"/>
    <hyperlink r:id="rId744" ref="D748"/>
    <hyperlink r:id="rId745" ref="D749"/>
    <hyperlink r:id="rId746" ref="D750"/>
    <hyperlink r:id="rId747" ref="D751"/>
    <hyperlink r:id="rId748" ref="D752"/>
    <hyperlink r:id="rId749" ref="D753"/>
    <hyperlink r:id="rId750" ref="D754"/>
    <hyperlink r:id="rId751" ref="D755"/>
    <hyperlink r:id="rId752" ref="D756"/>
    <hyperlink r:id="rId753" ref="D757"/>
    <hyperlink r:id="rId754" ref="D758"/>
    <hyperlink r:id="rId755" ref="D759"/>
    <hyperlink r:id="rId756" ref="D760"/>
    <hyperlink r:id="rId757" ref="D761"/>
    <hyperlink r:id="rId758" ref="D762"/>
    <hyperlink r:id="rId759" ref="D763"/>
    <hyperlink r:id="rId760" ref="D764"/>
    <hyperlink r:id="rId761" ref="D765"/>
    <hyperlink r:id="rId762" ref="D766"/>
    <hyperlink r:id="rId763" ref="D767"/>
    <hyperlink r:id="rId764" ref="D768"/>
    <hyperlink r:id="rId765" ref="D769"/>
    <hyperlink r:id="rId766" ref="D770"/>
    <hyperlink r:id="rId767" ref="D771"/>
    <hyperlink r:id="rId768" ref="D772"/>
    <hyperlink r:id="rId769" ref="D773"/>
    <hyperlink r:id="rId770" ref="D774"/>
    <hyperlink r:id="rId771" ref="D775"/>
    <hyperlink r:id="rId772" ref="D776"/>
    <hyperlink r:id="rId773" ref="D777"/>
    <hyperlink r:id="rId774" ref="D778"/>
    <hyperlink r:id="rId775" ref="D779"/>
    <hyperlink r:id="rId776" ref="D780"/>
    <hyperlink r:id="rId777" ref="D781"/>
    <hyperlink r:id="rId778" ref="D782"/>
    <hyperlink r:id="rId779" ref="D783"/>
    <hyperlink r:id="rId780" ref="D784"/>
    <hyperlink r:id="rId781" ref="D785"/>
    <hyperlink r:id="rId782" ref="D786"/>
    <hyperlink r:id="rId783" ref="D787"/>
    <hyperlink r:id="rId784" ref="D788"/>
    <hyperlink r:id="rId785" ref="D789"/>
    <hyperlink r:id="rId786" ref="D790"/>
    <hyperlink r:id="rId787" ref="D791"/>
    <hyperlink r:id="rId788" ref="D792"/>
    <hyperlink r:id="rId789" ref="D793"/>
    <hyperlink r:id="rId790" ref="D794"/>
    <hyperlink r:id="rId791" ref="D795"/>
    <hyperlink r:id="rId792" ref="D796"/>
    <hyperlink r:id="rId793" ref="D797"/>
    <hyperlink r:id="rId794" ref="D798"/>
    <hyperlink r:id="rId795" ref="D799"/>
    <hyperlink r:id="rId796" ref="D800"/>
    <hyperlink r:id="rId797" ref="D801"/>
    <hyperlink r:id="rId798" ref="D802"/>
    <hyperlink r:id="rId799" ref="D803"/>
    <hyperlink r:id="rId800" ref="D804"/>
    <hyperlink r:id="rId801" ref="D805"/>
    <hyperlink r:id="rId802" ref="D806"/>
    <hyperlink r:id="rId803" ref="D807"/>
    <hyperlink r:id="rId804" ref="D808"/>
    <hyperlink r:id="rId805" ref="D809"/>
    <hyperlink r:id="rId806" ref="D810"/>
    <hyperlink r:id="rId807" ref="D811"/>
    <hyperlink r:id="rId808" ref="D812"/>
    <hyperlink r:id="rId809" ref="D813"/>
    <hyperlink r:id="rId810" ref="D814"/>
    <hyperlink r:id="rId811" ref="D815"/>
    <hyperlink r:id="rId812" ref="D816"/>
    <hyperlink r:id="rId813" ref="D817"/>
    <hyperlink r:id="rId814" ref="D818"/>
    <hyperlink r:id="rId815" ref="D819"/>
    <hyperlink r:id="rId816" ref="D820"/>
    <hyperlink r:id="rId817" ref="D821"/>
    <hyperlink r:id="rId818" ref="D822"/>
    <hyperlink r:id="rId819" ref="D823"/>
    <hyperlink r:id="rId820" ref="D824"/>
    <hyperlink r:id="rId821" ref="D825"/>
    <hyperlink r:id="rId822" ref="D826"/>
    <hyperlink r:id="rId823" ref="D827"/>
    <hyperlink r:id="rId824" ref="D828"/>
    <hyperlink r:id="rId825" ref="D829"/>
    <hyperlink r:id="rId826" ref="D830"/>
    <hyperlink r:id="rId827" ref="D831"/>
    <hyperlink r:id="rId828" ref="D832"/>
    <hyperlink r:id="rId829" ref="D833"/>
    <hyperlink r:id="rId830" ref="D834"/>
    <hyperlink r:id="rId831" ref="D835"/>
    <hyperlink r:id="rId832" ref="D836"/>
    <hyperlink r:id="rId833" ref="D837"/>
    <hyperlink r:id="rId834" ref="D838"/>
    <hyperlink r:id="rId835" ref="D839"/>
    <hyperlink r:id="rId836" ref="D840"/>
    <hyperlink r:id="rId837" ref="D841"/>
    <hyperlink r:id="rId838" ref="D842"/>
    <hyperlink r:id="rId839" ref="D843"/>
    <hyperlink r:id="rId840" ref="D844"/>
    <hyperlink r:id="rId841" ref="D845"/>
    <hyperlink r:id="rId842" ref="D846"/>
    <hyperlink r:id="rId843" ref="D847"/>
    <hyperlink r:id="rId844" ref="D848"/>
    <hyperlink r:id="rId845" ref="D849"/>
    <hyperlink r:id="rId846" ref="D850"/>
    <hyperlink r:id="rId847" ref="D851"/>
    <hyperlink r:id="rId848" ref="D852"/>
    <hyperlink r:id="rId849" ref="D853"/>
    <hyperlink r:id="rId850" ref="D854"/>
    <hyperlink r:id="rId851" ref="D855"/>
    <hyperlink r:id="rId852" ref="D856"/>
    <hyperlink r:id="rId853" ref="D857"/>
    <hyperlink r:id="rId854" ref="D858"/>
    <hyperlink r:id="rId855" ref="D859"/>
    <hyperlink r:id="rId856" ref="D860"/>
    <hyperlink r:id="rId857" ref="D861"/>
    <hyperlink r:id="rId858" ref="D862"/>
    <hyperlink r:id="rId859" ref="D863"/>
    <hyperlink r:id="rId860" ref="D866"/>
    <hyperlink r:id="rId861" ref="D868"/>
    <hyperlink r:id="rId862" ref="D869"/>
    <hyperlink r:id="rId863" ref="D870"/>
    <hyperlink r:id="rId864" ref="D871"/>
    <hyperlink r:id="rId865" ref="D872"/>
    <hyperlink r:id="rId866" ref="D873"/>
    <hyperlink r:id="rId867" ref="D874"/>
    <hyperlink r:id="rId868" ref="D875"/>
    <hyperlink r:id="rId869" ref="D876"/>
    <hyperlink r:id="rId870" ref="D877"/>
    <hyperlink r:id="rId871" ref="D878"/>
    <hyperlink r:id="rId872" ref="D879"/>
    <hyperlink r:id="rId873" ref="D880"/>
    <hyperlink r:id="rId874" ref="D881"/>
    <hyperlink r:id="rId875" ref="D882"/>
    <hyperlink r:id="rId876" ref="D883"/>
    <hyperlink r:id="rId877" ref="D884"/>
    <hyperlink r:id="rId878" ref="D885"/>
    <hyperlink r:id="rId879" ref="D886"/>
    <hyperlink r:id="rId880" ref="D887"/>
    <hyperlink r:id="rId881" ref="D888"/>
    <hyperlink r:id="rId882" ref="D889"/>
    <hyperlink r:id="rId883" ref="D890"/>
    <hyperlink r:id="rId884" ref="D891"/>
    <hyperlink r:id="rId885" ref="D892"/>
    <hyperlink r:id="rId886" ref="D893"/>
    <hyperlink r:id="rId887" ref="D894"/>
    <hyperlink r:id="rId888" ref="D895"/>
    <hyperlink r:id="rId889" ref="D896"/>
    <hyperlink r:id="rId890" ref="D897"/>
    <hyperlink r:id="rId891" ref="D898"/>
    <hyperlink r:id="rId892" ref="D899"/>
    <hyperlink r:id="rId893" ref="D900"/>
    <hyperlink r:id="rId894" ref="D901"/>
    <hyperlink r:id="rId895" ref="D902"/>
    <hyperlink r:id="rId896" ref="D903"/>
    <hyperlink r:id="rId897" ref="D904"/>
    <hyperlink r:id="rId898" ref="D905"/>
    <hyperlink r:id="rId899" ref="D906"/>
    <hyperlink r:id="rId900" ref="D907"/>
    <hyperlink r:id="rId901" ref="D908"/>
    <hyperlink r:id="rId902" ref="D909"/>
    <hyperlink r:id="rId903" ref="D910"/>
    <hyperlink r:id="rId904" ref="D911"/>
    <hyperlink r:id="rId905" ref="D912"/>
    <hyperlink r:id="rId906" ref="D913"/>
    <hyperlink r:id="rId907" ref="D914"/>
    <hyperlink r:id="rId908" ref="D915"/>
    <hyperlink r:id="rId909" ref="D916"/>
    <hyperlink r:id="rId910" ref="D917"/>
    <hyperlink r:id="rId911" ref="D918"/>
    <hyperlink r:id="rId912" ref="D919"/>
    <hyperlink r:id="rId913" ref="E919"/>
    <hyperlink r:id="rId914" ref="D920"/>
    <hyperlink r:id="rId915" ref="D921"/>
    <hyperlink r:id="rId916" ref="D922"/>
    <hyperlink r:id="rId917" ref="D923"/>
    <hyperlink r:id="rId918" ref="D924"/>
    <hyperlink r:id="rId919" ref="D925"/>
    <hyperlink r:id="rId920" ref="D926"/>
    <hyperlink r:id="rId921" ref="D927"/>
    <hyperlink r:id="rId922" ref="D928"/>
    <hyperlink r:id="rId923" ref="D929"/>
    <hyperlink r:id="rId924" ref="D930"/>
    <hyperlink r:id="rId925" ref="D931"/>
    <hyperlink r:id="rId926" ref="D932"/>
    <hyperlink r:id="rId927" ref="D933"/>
    <hyperlink r:id="rId928" ref="D934"/>
    <hyperlink r:id="rId929" ref="D935"/>
    <hyperlink r:id="rId930" ref="D936"/>
    <hyperlink r:id="rId931" ref="D938"/>
    <hyperlink r:id="rId932" ref="D939"/>
    <hyperlink r:id="rId933" ref="D940"/>
    <hyperlink r:id="rId934" ref="D941"/>
    <hyperlink r:id="rId935" ref="D942"/>
    <hyperlink r:id="rId936" ref="D943"/>
    <hyperlink r:id="rId937" ref="D944"/>
    <hyperlink r:id="rId938" ref="D945"/>
    <hyperlink r:id="rId939" ref="D946"/>
    <hyperlink r:id="rId940" ref="D947"/>
    <hyperlink r:id="rId941" ref="D948"/>
    <hyperlink r:id="rId942" ref="D949"/>
    <hyperlink r:id="rId943" ref="D952"/>
    <hyperlink r:id="rId944" ref="D953"/>
    <hyperlink r:id="rId945" ref="D954"/>
    <hyperlink r:id="rId946" ref="D955"/>
    <hyperlink r:id="rId947" ref="F956"/>
    <hyperlink r:id="rId948" ref="D957"/>
    <hyperlink r:id="rId949" ref="D958"/>
    <hyperlink r:id="rId950" ref="D959"/>
    <hyperlink r:id="rId951" ref="D960"/>
    <hyperlink r:id="rId952" ref="D961"/>
    <hyperlink r:id="rId953" ref="D962"/>
    <hyperlink r:id="rId954" ref="D963"/>
    <hyperlink r:id="rId955" ref="D964"/>
    <hyperlink r:id="rId956" ref="D965"/>
    <hyperlink r:id="rId957" ref="D966"/>
    <hyperlink r:id="rId958" ref="D967"/>
    <hyperlink r:id="rId959" ref="D968"/>
    <hyperlink r:id="rId960" ref="D969"/>
    <hyperlink r:id="rId961" ref="D970"/>
    <hyperlink r:id="rId962" ref="D971"/>
    <hyperlink r:id="rId963" ref="D972"/>
    <hyperlink r:id="rId964" ref="D973"/>
    <hyperlink r:id="rId965" ref="D974"/>
    <hyperlink r:id="rId966" ref="D975"/>
    <hyperlink r:id="rId967" ref="D976"/>
    <hyperlink r:id="rId968" ref="D977"/>
    <hyperlink r:id="rId969" ref="D978"/>
    <hyperlink r:id="rId970" ref="D979"/>
    <hyperlink r:id="rId971" ref="D980"/>
    <hyperlink r:id="rId972" ref="D981"/>
    <hyperlink r:id="rId973" ref="D982"/>
    <hyperlink r:id="rId974" ref="D983"/>
    <hyperlink r:id="rId975" ref="D984"/>
    <hyperlink r:id="rId976" ref="D985"/>
  </hyperlinks>
  <drawing r:id="rId977"/>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sheetPr>
  <sheetViews>
    <sheetView workbookViewId="0"/>
  </sheetViews>
  <sheetFormatPr customHeight="1" defaultColWidth="12.63" defaultRowHeight="15.75"/>
  <cols>
    <col customWidth="1" min="1" max="1" width="2.63"/>
    <col customWidth="1" min="2" max="2" width="10.0"/>
    <col customWidth="1" min="4" max="4" width="37.75"/>
    <col customWidth="1" min="7" max="7" width="8.0"/>
    <col customWidth="1" min="9" max="9" width="8.5"/>
  </cols>
  <sheetData>
    <row r="1" ht="27.75" customHeight="1">
      <c r="A1" s="56"/>
      <c r="B1" s="57"/>
      <c r="C1" s="58" t="s">
        <v>3788</v>
      </c>
      <c r="D1" s="59"/>
      <c r="E1" s="56"/>
      <c r="F1" s="56"/>
      <c r="G1" s="60"/>
      <c r="H1" s="61" t="s">
        <v>3789</v>
      </c>
      <c r="I1" s="60" t="s">
        <v>3790</v>
      </c>
    </row>
    <row r="2" ht="21.75" customHeight="1">
      <c r="A2" s="56"/>
      <c r="B2" s="62"/>
      <c r="C2" s="63"/>
      <c r="D2" s="64"/>
      <c r="E2" s="65"/>
      <c r="F2" s="65"/>
      <c r="G2" s="66"/>
      <c r="H2" s="67">
        <v>45232.0</v>
      </c>
      <c r="I2" s="66" t="s">
        <v>3791</v>
      </c>
    </row>
    <row r="3" ht="18.75" customHeight="1">
      <c r="A3" s="56"/>
      <c r="B3" s="68"/>
      <c r="C3" s="69"/>
      <c r="D3" s="70"/>
      <c r="E3" s="71"/>
      <c r="F3" s="72"/>
      <c r="G3" s="72"/>
      <c r="H3" s="73"/>
      <c r="I3" s="73"/>
    </row>
    <row r="4">
      <c r="A4" s="56"/>
      <c r="B4" s="74" t="s">
        <v>3792</v>
      </c>
      <c r="C4" s="75"/>
      <c r="D4" s="75"/>
      <c r="E4" s="76"/>
      <c r="F4" s="56"/>
      <c r="G4" s="56"/>
      <c r="H4" s="73"/>
      <c r="I4" s="73"/>
    </row>
    <row r="5">
      <c r="A5" s="56"/>
      <c r="B5" s="77" t="s">
        <v>3793</v>
      </c>
      <c r="C5" s="78"/>
      <c r="D5" s="78"/>
      <c r="E5" s="56"/>
      <c r="F5" s="56"/>
      <c r="G5" s="56"/>
      <c r="H5" s="56"/>
      <c r="I5" s="56"/>
    </row>
    <row r="6">
      <c r="A6" s="79"/>
      <c r="B6" s="80" t="s">
        <v>3794</v>
      </c>
      <c r="C6" s="81"/>
      <c r="D6" s="56"/>
      <c r="E6" s="82"/>
      <c r="F6" s="56"/>
      <c r="G6" s="56"/>
      <c r="H6" s="56"/>
      <c r="I6" s="56"/>
    </row>
    <row r="7">
      <c r="A7" s="79"/>
      <c r="B7" s="83" t="s">
        <v>3795</v>
      </c>
      <c r="C7" s="81"/>
      <c r="D7" s="56"/>
      <c r="E7" s="82"/>
      <c r="F7" s="56"/>
      <c r="G7" s="56"/>
      <c r="H7" s="56"/>
      <c r="I7" s="56"/>
    </row>
    <row r="8">
      <c r="A8" s="79"/>
      <c r="B8" s="83" t="s">
        <v>3796</v>
      </c>
      <c r="C8" s="81"/>
      <c r="D8" s="56"/>
      <c r="E8" s="82"/>
      <c r="F8" s="56"/>
      <c r="G8" s="56"/>
      <c r="H8" s="56"/>
      <c r="I8" s="56"/>
    </row>
    <row r="9">
      <c r="A9" s="79"/>
      <c r="B9" s="83" t="s">
        <v>3797</v>
      </c>
      <c r="C9" s="81"/>
      <c r="D9" s="56"/>
      <c r="E9" s="82"/>
      <c r="F9" s="56"/>
      <c r="G9" s="56"/>
      <c r="H9" s="56"/>
      <c r="I9" s="56"/>
    </row>
    <row r="10">
      <c r="A10" s="79"/>
      <c r="B10" s="83"/>
      <c r="C10" s="56"/>
      <c r="D10" s="56"/>
      <c r="E10" s="82"/>
      <c r="F10" s="56"/>
      <c r="G10" s="56"/>
      <c r="H10" s="56"/>
      <c r="I10" s="56"/>
    </row>
    <row r="11">
      <c r="A11" s="56"/>
      <c r="B11" s="69" t="s">
        <v>3798</v>
      </c>
      <c r="C11" s="72"/>
      <c r="D11" s="72"/>
      <c r="E11" s="56"/>
      <c r="F11" s="56"/>
      <c r="G11" s="56"/>
      <c r="H11" s="56"/>
      <c r="I11" s="56"/>
    </row>
    <row r="12">
      <c r="A12" s="56"/>
      <c r="B12" s="84" t="s">
        <v>3799</v>
      </c>
      <c r="C12" s="83"/>
      <c r="D12" s="56"/>
      <c r="E12" s="56"/>
      <c r="F12" s="56"/>
      <c r="G12" s="56"/>
      <c r="H12" s="56"/>
      <c r="I12" s="56"/>
    </row>
    <row r="13">
      <c r="A13" s="56"/>
      <c r="B13" s="83" t="s">
        <v>3800</v>
      </c>
      <c r="C13" s="56"/>
      <c r="D13" s="56"/>
      <c r="E13" s="56"/>
      <c r="F13" s="56"/>
      <c r="G13" s="56"/>
      <c r="H13" s="56"/>
      <c r="I13" s="56"/>
    </row>
    <row r="14">
      <c r="A14" s="56"/>
      <c r="B14" s="83"/>
      <c r="C14" s="56"/>
      <c r="D14" s="56"/>
      <c r="E14" s="56"/>
      <c r="F14" s="56"/>
      <c r="G14" s="56"/>
      <c r="H14" s="56"/>
      <c r="I14" s="56"/>
    </row>
    <row r="15">
      <c r="A15" s="56"/>
      <c r="B15" s="83" t="s">
        <v>3801</v>
      </c>
      <c r="C15" s="56"/>
      <c r="D15" s="56"/>
      <c r="E15" s="56"/>
      <c r="F15" s="56"/>
      <c r="G15" s="56"/>
      <c r="H15" s="56"/>
      <c r="I15" s="56"/>
    </row>
    <row r="16">
      <c r="A16" s="56"/>
      <c r="B16" s="83" t="s">
        <v>3802</v>
      </c>
      <c r="C16" s="56"/>
      <c r="D16" s="56"/>
      <c r="E16" s="56"/>
      <c r="F16" s="56"/>
      <c r="G16" s="56"/>
      <c r="H16" s="56"/>
      <c r="I16" s="56"/>
    </row>
    <row r="17">
      <c r="A17" s="56"/>
      <c r="B17" s="83" t="s">
        <v>3803</v>
      </c>
      <c r="C17" s="56"/>
      <c r="D17" s="56"/>
      <c r="E17" s="56"/>
      <c r="F17" s="56"/>
      <c r="G17" s="56"/>
      <c r="H17" s="56"/>
      <c r="I17" s="56"/>
    </row>
    <row r="18">
      <c r="A18" s="56"/>
      <c r="B18" s="83"/>
      <c r="C18" s="56"/>
      <c r="D18" s="56"/>
      <c r="E18" s="56"/>
      <c r="F18" s="56"/>
      <c r="G18" s="56"/>
      <c r="H18" s="56"/>
      <c r="I18" s="56"/>
    </row>
    <row r="19">
      <c r="A19" s="56"/>
      <c r="B19" s="85" t="s">
        <v>3804</v>
      </c>
      <c r="C19" s="85"/>
      <c r="D19" s="56"/>
      <c r="E19" s="56"/>
      <c r="F19" s="56"/>
      <c r="G19" s="56"/>
      <c r="H19" s="56"/>
      <c r="I19" s="56"/>
    </row>
    <row r="20">
      <c r="A20" s="56"/>
      <c r="B20" s="86" t="s">
        <v>3805</v>
      </c>
      <c r="C20" s="87"/>
      <c r="D20" s="56"/>
      <c r="E20" s="56"/>
      <c r="F20" s="56"/>
      <c r="G20" s="56"/>
      <c r="H20" s="56"/>
      <c r="I20" s="56"/>
    </row>
    <row r="21">
      <c r="A21" s="56"/>
      <c r="B21" s="86" t="s">
        <v>3806</v>
      </c>
      <c r="C21" s="87"/>
      <c r="D21" s="56"/>
      <c r="E21" s="56"/>
      <c r="F21" s="56"/>
      <c r="G21" s="56"/>
      <c r="H21" s="56"/>
      <c r="I21" s="56"/>
    </row>
    <row r="22">
      <c r="A22" s="56"/>
      <c r="B22" s="88" t="s">
        <v>3807</v>
      </c>
      <c r="C22" s="87"/>
      <c r="D22" s="56"/>
      <c r="E22" s="56"/>
      <c r="F22" s="56"/>
      <c r="G22" s="56"/>
      <c r="H22" s="56"/>
      <c r="I22" s="56"/>
    </row>
    <row r="23">
      <c r="A23" s="56"/>
      <c r="B23" s="86" t="s">
        <v>3808</v>
      </c>
      <c r="C23" s="87"/>
      <c r="D23" s="56"/>
      <c r="E23" s="56"/>
      <c r="F23" s="56"/>
      <c r="G23" s="56"/>
      <c r="H23" s="56"/>
      <c r="I23" s="56"/>
    </row>
    <row r="24">
      <c r="A24" s="56"/>
      <c r="B24" s="89"/>
      <c r="C24" s="87"/>
      <c r="D24" s="56"/>
      <c r="E24" s="56"/>
      <c r="F24" s="56"/>
      <c r="G24" s="56"/>
      <c r="H24" s="56"/>
      <c r="I24" s="56"/>
    </row>
    <row r="25">
      <c r="A25" s="56"/>
      <c r="B25" s="89" t="s">
        <v>3809</v>
      </c>
      <c r="C25" s="87"/>
      <c r="D25" s="56"/>
      <c r="E25" s="56"/>
      <c r="F25" s="56"/>
      <c r="G25" s="56"/>
      <c r="H25" s="56"/>
      <c r="I25" s="56"/>
    </row>
    <row r="26">
      <c r="A26" s="56"/>
      <c r="B26" s="88" t="s">
        <v>3810</v>
      </c>
      <c r="C26" s="56"/>
      <c r="D26" s="56"/>
      <c r="E26" s="56"/>
      <c r="F26" s="56"/>
      <c r="G26" s="56"/>
      <c r="H26" s="56"/>
      <c r="I26" s="56"/>
    </row>
    <row r="27">
      <c r="A27" s="56"/>
      <c r="B27" s="88" t="s">
        <v>3811</v>
      </c>
      <c r="C27" s="56"/>
      <c r="D27" s="56"/>
      <c r="E27" s="56"/>
      <c r="F27" s="56"/>
      <c r="G27" s="56"/>
      <c r="H27" s="56"/>
      <c r="I27" s="56"/>
    </row>
    <row r="28">
      <c r="A28" s="56"/>
      <c r="B28" s="89"/>
      <c r="C28" s="90"/>
      <c r="D28" s="56"/>
      <c r="E28" s="56"/>
      <c r="F28" s="56"/>
      <c r="G28" s="56"/>
      <c r="H28" s="56"/>
      <c r="I28" s="56"/>
    </row>
    <row r="29">
      <c r="A29" s="56"/>
      <c r="B29" s="89" t="s">
        <v>3812</v>
      </c>
      <c r="C29" s="56"/>
      <c r="D29" s="56"/>
      <c r="E29" s="56"/>
      <c r="F29" s="56"/>
      <c r="G29" s="56"/>
      <c r="H29" s="56"/>
      <c r="I29" s="56"/>
    </row>
    <row r="30">
      <c r="A30" s="56"/>
      <c r="B30" s="91">
        <v>45232.0</v>
      </c>
      <c r="C30" s="88" t="s">
        <v>3813</v>
      </c>
      <c r="D30" s="56"/>
      <c r="E30" s="56"/>
      <c r="F30" s="56"/>
      <c r="G30" s="56"/>
      <c r="H30" s="56"/>
      <c r="I30" s="56"/>
    </row>
    <row r="31">
      <c r="A31" s="56"/>
      <c r="B31" s="91">
        <v>45223.0</v>
      </c>
      <c r="C31" s="83" t="s">
        <v>3814</v>
      </c>
      <c r="D31" s="56"/>
      <c r="E31" s="56"/>
      <c r="F31" s="56"/>
      <c r="G31" s="56"/>
      <c r="H31" s="56"/>
      <c r="I31" s="56"/>
    </row>
    <row r="32">
      <c r="A32" s="56"/>
      <c r="B32" s="91">
        <v>45215.0</v>
      </c>
      <c r="C32" s="83" t="s">
        <v>3815</v>
      </c>
      <c r="D32" s="56"/>
      <c r="E32" s="56"/>
      <c r="F32" s="56"/>
      <c r="G32" s="56"/>
      <c r="H32" s="56"/>
      <c r="I32" s="56"/>
    </row>
  </sheetData>
  <mergeCells count="2">
    <mergeCell ref="B1:B2"/>
    <mergeCell ref="C1:D2"/>
  </mergeCells>
  <hyperlinks>
    <hyperlink r:id="rId1" ref="I2"/>
    <hyperlink r:id="rId2" ref="B20"/>
    <hyperlink r:id="rId3" ref="B21"/>
    <hyperlink r:id="rId4" ref="B22"/>
    <hyperlink r:id="rId5" ref="B23"/>
    <hyperlink r:id="rId6" ref="B26"/>
    <hyperlink r:id="rId7" location="gid=1090840308" ref="B27"/>
    <hyperlink r:id="rId8" ref="C30"/>
  </hyperlinks>
  <drawing r:id="rId9"/>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7.0" topLeftCell="A8" activePane="bottomLeft" state="frozen"/>
      <selection activeCell="B9" sqref="B9" pane="bottomLeft"/>
    </sheetView>
  </sheetViews>
  <sheetFormatPr customHeight="1" defaultColWidth="12.63" defaultRowHeight="15.75"/>
  <cols>
    <col customWidth="1" min="1" max="1" width="2.63"/>
    <col customWidth="1" min="2" max="2" width="32.0"/>
    <col customWidth="1" min="3" max="3" width="48.75"/>
    <col customWidth="1" min="4" max="4" width="19.0"/>
    <col customWidth="1" min="5" max="5" width="16.63"/>
    <col customWidth="1" min="6" max="6" width="28.38"/>
  </cols>
  <sheetData>
    <row r="1" ht="39.0" customHeight="1">
      <c r="A1" s="92"/>
      <c r="B1" s="93" t="s">
        <v>3816</v>
      </c>
      <c r="C1" s="94"/>
      <c r="D1" s="94"/>
      <c r="E1" s="94"/>
      <c r="F1" s="94"/>
    </row>
    <row r="2">
      <c r="A2" s="95"/>
      <c r="B2" s="96"/>
      <c r="C2" s="97"/>
      <c r="D2" s="97"/>
      <c r="E2" s="97"/>
      <c r="F2" s="98"/>
    </row>
    <row r="3">
      <c r="A3" s="95"/>
      <c r="B3" s="95" t="s">
        <v>3817</v>
      </c>
      <c r="C3" s="95"/>
      <c r="D3" s="99"/>
      <c r="E3" s="99"/>
      <c r="F3" s="100" t="s">
        <v>3818</v>
      </c>
    </row>
    <row r="4">
      <c r="A4" s="95"/>
      <c r="B4" s="95" t="s">
        <v>3819</v>
      </c>
      <c r="C4" s="95"/>
      <c r="D4" s="99"/>
      <c r="E4" s="99"/>
    </row>
    <row r="5">
      <c r="A5" s="92"/>
      <c r="B5" s="95" t="s">
        <v>3820</v>
      </c>
      <c r="C5" s="95"/>
      <c r="D5" s="99"/>
      <c r="E5" s="99"/>
      <c r="F5" s="101"/>
    </row>
    <row r="6">
      <c r="A6" s="92"/>
      <c r="B6" s="102"/>
      <c r="C6" s="102"/>
      <c r="D6" s="103"/>
      <c r="E6" s="103"/>
      <c r="F6" s="104"/>
    </row>
    <row r="7" ht="21.75" customHeight="1">
      <c r="A7" s="105"/>
      <c r="B7" s="106" t="s">
        <v>3821</v>
      </c>
      <c r="C7" s="107" t="s">
        <v>3822</v>
      </c>
      <c r="D7" s="107" t="s">
        <v>3823</v>
      </c>
      <c r="E7" s="107" t="s">
        <v>3824</v>
      </c>
      <c r="F7" s="108" t="s">
        <v>3825</v>
      </c>
    </row>
    <row r="8">
      <c r="A8" s="105"/>
      <c r="B8" s="109" t="s">
        <v>170</v>
      </c>
      <c r="C8" s="110" t="s">
        <v>3826</v>
      </c>
      <c r="D8" s="111" t="s">
        <v>2379</v>
      </c>
      <c r="E8" s="112" t="s">
        <v>2379</v>
      </c>
      <c r="F8" s="113"/>
    </row>
    <row r="9" ht="14.25" customHeight="1">
      <c r="A9" s="105"/>
      <c r="B9" s="114" t="s">
        <v>150</v>
      </c>
      <c r="C9" s="115" t="s">
        <v>3827</v>
      </c>
      <c r="D9" s="111" t="s">
        <v>2379</v>
      </c>
      <c r="E9" s="116" t="s">
        <v>2379</v>
      </c>
      <c r="F9" s="117"/>
    </row>
    <row r="10">
      <c r="A10" s="105"/>
      <c r="B10" s="109" t="s">
        <v>770</v>
      </c>
      <c r="C10" s="110" t="s">
        <v>3828</v>
      </c>
      <c r="D10" s="111" t="s">
        <v>2379</v>
      </c>
      <c r="E10" s="112" t="s">
        <v>2379</v>
      </c>
      <c r="F10" s="113"/>
    </row>
    <row r="11">
      <c r="A11" s="105"/>
      <c r="B11" s="114" t="s">
        <v>76</v>
      </c>
      <c r="C11" s="115" t="s">
        <v>3829</v>
      </c>
      <c r="D11" s="111" t="s">
        <v>2379</v>
      </c>
      <c r="E11" s="116" t="s">
        <v>2379</v>
      </c>
      <c r="F11" s="117"/>
    </row>
    <row r="12">
      <c r="A12" s="105"/>
      <c r="B12" s="109" t="s">
        <v>80</v>
      </c>
      <c r="C12" s="110" t="s">
        <v>3830</v>
      </c>
      <c r="D12" s="111" t="s">
        <v>2379</v>
      </c>
      <c r="E12" s="112" t="s">
        <v>2379</v>
      </c>
      <c r="F12" s="113"/>
    </row>
    <row r="13">
      <c r="A13" s="105"/>
      <c r="B13" s="114" t="s">
        <v>3831</v>
      </c>
      <c r="C13" s="115" t="s">
        <v>3832</v>
      </c>
      <c r="D13" s="111" t="s">
        <v>2379</v>
      </c>
      <c r="E13" s="116" t="s">
        <v>2379</v>
      </c>
      <c r="F13" s="118" t="s">
        <v>3833</v>
      </c>
    </row>
    <row r="14">
      <c r="A14" s="105"/>
      <c r="B14" s="109" t="s">
        <v>3834</v>
      </c>
      <c r="C14" s="110" t="s">
        <v>3835</v>
      </c>
      <c r="D14" s="111" t="s">
        <v>2379</v>
      </c>
      <c r="E14" s="112" t="s">
        <v>2379</v>
      </c>
      <c r="F14" s="119" t="s">
        <v>3833</v>
      </c>
    </row>
    <row r="15">
      <c r="A15" s="105"/>
      <c r="B15" s="114" t="s">
        <v>3836</v>
      </c>
      <c r="C15" s="115" t="s">
        <v>3837</v>
      </c>
      <c r="D15" s="111" t="s">
        <v>2379</v>
      </c>
      <c r="E15" s="116" t="s">
        <v>2379</v>
      </c>
      <c r="F15" s="118" t="s">
        <v>3838</v>
      </c>
    </row>
    <row r="16">
      <c r="A16" s="105"/>
      <c r="B16" s="109" t="s">
        <v>3839</v>
      </c>
      <c r="C16" s="110" t="s">
        <v>3840</v>
      </c>
      <c r="D16" s="111" t="s">
        <v>2379</v>
      </c>
      <c r="E16" s="112" t="s">
        <v>2379</v>
      </c>
      <c r="F16" s="119" t="s">
        <v>3838</v>
      </c>
    </row>
    <row r="17">
      <c r="A17" s="105"/>
      <c r="B17" s="114" t="s">
        <v>3841</v>
      </c>
      <c r="C17" s="115" t="s">
        <v>3842</v>
      </c>
      <c r="D17" s="111" t="s">
        <v>2379</v>
      </c>
      <c r="E17" s="116" t="s">
        <v>2379</v>
      </c>
      <c r="F17" s="117"/>
    </row>
    <row r="18">
      <c r="A18" s="105"/>
      <c r="B18" s="109" t="s">
        <v>3843</v>
      </c>
      <c r="C18" s="110" t="s">
        <v>3844</v>
      </c>
      <c r="D18" s="111" t="s">
        <v>2379</v>
      </c>
      <c r="E18" s="112" t="s">
        <v>2379</v>
      </c>
      <c r="F18" s="113"/>
    </row>
    <row r="19">
      <c r="A19" s="105"/>
      <c r="B19" s="114" t="s">
        <v>3845</v>
      </c>
      <c r="C19" s="115" t="s">
        <v>3846</v>
      </c>
      <c r="D19" s="111" t="s">
        <v>2379</v>
      </c>
      <c r="E19" s="116" t="s">
        <v>2379</v>
      </c>
      <c r="F19" s="117"/>
    </row>
    <row r="20">
      <c r="A20" s="105"/>
      <c r="B20" s="109" t="s">
        <v>3847</v>
      </c>
      <c r="C20" s="110" t="s">
        <v>3848</v>
      </c>
      <c r="D20" s="111" t="s">
        <v>2379</v>
      </c>
      <c r="E20" s="112" t="s">
        <v>2379</v>
      </c>
      <c r="F20" s="113"/>
    </row>
    <row r="21">
      <c r="A21" s="105"/>
      <c r="B21" s="114" t="s">
        <v>183</v>
      </c>
      <c r="C21" s="115" t="s">
        <v>3849</v>
      </c>
      <c r="D21" s="111" t="s">
        <v>2379</v>
      </c>
      <c r="E21" s="116" t="s">
        <v>2379</v>
      </c>
      <c r="F21" s="120" t="s">
        <v>3850</v>
      </c>
    </row>
    <row r="22">
      <c r="A22" s="105"/>
      <c r="B22" s="109" t="s">
        <v>3851</v>
      </c>
      <c r="C22" s="110" t="s">
        <v>3852</v>
      </c>
      <c r="D22" s="111" t="s">
        <v>2379</v>
      </c>
      <c r="E22" s="112" t="s">
        <v>2379</v>
      </c>
      <c r="F22" s="113"/>
    </row>
    <row r="23">
      <c r="A23" s="105"/>
      <c r="B23" s="114" t="s">
        <v>1477</v>
      </c>
      <c r="C23" s="115" t="s">
        <v>3853</v>
      </c>
      <c r="D23" s="111" t="s">
        <v>2379</v>
      </c>
      <c r="E23" s="116" t="s">
        <v>2379</v>
      </c>
      <c r="F23" s="117"/>
    </row>
    <row r="24">
      <c r="A24" s="105"/>
      <c r="B24" s="121" t="s">
        <v>3854</v>
      </c>
      <c r="C24" s="110" t="s">
        <v>3855</v>
      </c>
      <c r="D24" s="122" t="s">
        <v>2379</v>
      </c>
      <c r="E24" s="123" t="s">
        <v>2379</v>
      </c>
      <c r="F24" s="124"/>
    </row>
    <row r="25">
      <c r="A25" s="105"/>
      <c r="B25" s="114" t="s">
        <v>667</v>
      </c>
      <c r="C25" s="125" t="s">
        <v>3856</v>
      </c>
      <c r="D25" s="111" t="s">
        <v>2379</v>
      </c>
      <c r="E25" s="116" t="s">
        <v>2379</v>
      </c>
      <c r="F25" s="118" t="s">
        <v>3857</v>
      </c>
    </row>
    <row r="26">
      <c r="A26" s="105"/>
      <c r="B26" s="109" t="s">
        <v>3858</v>
      </c>
      <c r="C26" s="110" t="s">
        <v>3859</v>
      </c>
      <c r="D26" s="111" t="s">
        <v>2379</v>
      </c>
      <c r="E26" s="112" t="s">
        <v>2379</v>
      </c>
      <c r="F26" s="119" t="s">
        <v>3860</v>
      </c>
    </row>
    <row r="27">
      <c r="A27" s="105"/>
      <c r="B27" s="114" t="s">
        <v>123</v>
      </c>
      <c r="C27" s="115" t="s">
        <v>3861</v>
      </c>
      <c r="D27" s="111" t="s">
        <v>2379</v>
      </c>
      <c r="E27" s="116" t="s">
        <v>2385</v>
      </c>
      <c r="F27" s="117"/>
    </row>
    <row r="28">
      <c r="A28" s="105"/>
      <c r="B28" s="109" t="s">
        <v>193</v>
      </c>
      <c r="C28" s="110" t="s">
        <v>3862</v>
      </c>
      <c r="D28" s="111" t="s">
        <v>2379</v>
      </c>
      <c r="E28" s="112" t="s">
        <v>2379</v>
      </c>
      <c r="F28" s="126" t="s">
        <v>3863</v>
      </c>
    </row>
    <row r="29">
      <c r="A29" s="105"/>
      <c r="B29" s="114" t="s">
        <v>3864</v>
      </c>
      <c r="C29" s="115" t="s">
        <v>3865</v>
      </c>
      <c r="D29" s="111" t="s">
        <v>2379</v>
      </c>
      <c r="E29" s="116" t="s">
        <v>2385</v>
      </c>
      <c r="F29" s="118" t="s">
        <v>3866</v>
      </c>
    </row>
    <row r="30">
      <c r="A30" s="105"/>
      <c r="B30" s="109" t="s">
        <v>78</v>
      </c>
      <c r="C30" s="110" t="s">
        <v>3867</v>
      </c>
      <c r="D30" s="111" t="s">
        <v>2379</v>
      </c>
      <c r="E30" s="112" t="s">
        <v>2379</v>
      </c>
      <c r="F30" s="113"/>
    </row>
    <row r="31">
      <c r="A31" s="105"/>
      <c r="B31" s="114" t="s">
        <v>3868</v>
      </c>
      <c r="C31" s="115" t="s">
        <v>3869</v>
      </c>
      <c r="D31" s="111" t="s">
        <v>2379</v>
      </c>
      <c r="E31" s="116" t="s">
        <v>2379</v>
      </c>
      <c r="F31" s="117"/>
    </row>
    <row r="32">
      <c r="A32" s="105"/>
      <c r="B32" s="109" t="s">
        <v>341</v>
      </c>
      <c r="C32" s="110" t="s">
        <v>3870</v>
      </c>
      <c r="D32" s="111" t="s">
        <v>2379</v>
      </c>
      <c r="E32" s="112" t="s">
        <v>2379</v>
      </c>
      <c r="F32" s="113"/>
    </row>
    <row r="33">
      <c r="A33" s="105"/>
      <c r="B33" s="114" t="s">
        <v>819</v>
      </c>
      <c r="C33" s="115" t="s">
        <v>3871</v>
      </c>
      <c r="D33" s="111" t="s">
        <v>2379</v>
      </c>
      <c r="E33" s="116" t="s">
        <v>2379</v>
      </c>
      <c r="F33" s="117"/>
    </row>
    <row r="34">
      <c r="A34" s="105"/>
      <c r="B34" s="109" t="s">
        <v>1439</v>
      </c>
      <c r="C34" s="110" t="s">
        <v>3872</v>
      </c>
      <c r="D34" s="111" t="s">
        <v>2379</v>
      </c>
      <c r="E34" s="112" t="s">
        <v>2379</v>
      </c>
      <c r="F34" s="113"/>
    </row>
    <row r="35">
      <c r="A35" s="105"/>
      <c r="B35" s="114" t="s">
        <v>3873</v>
      </c>
      <c r="C35" s="115" t="s">
        <v>3874</v>
      </c>
      <c r="D35" s="111" t="s">
        <v>2379</v>
      </c>
      <c r="E35" s="116" t="s">
        <v>2379</v>
      </c>
      <c r="F35" s="117"/>
    </row>
    <row r="36">
      <c r="A36" s="105"/>
      <c r="B36" s="109" t="s">
        <v>3875</v>
      </c>
      <c r="C36" s="110" t="s">
        <v>3876</v>
      </c>
      <c r="D36" s="111" t="s">
        <v>2379</v>
      </c>
      <c r="E36" s="112" t="s">
        <v>2379</v>
      </c>
      <c r="F36" s="113"/>
    </row>
    <row r="37">
      <c r="A37" s="105"/>
      <c r="B37" s="114" t="s">
        <v>3877</v>
      </c>
      <c r="C37" s="115" t="s">
        <v>3878</v>
      </c>
      <c r="D37" s="111" t="s">
        <v>2379</v>
      </c>
      <c r="E37" s="116" t="s">
        <v>2379</v>
      </c>
      <c r="F37" s="117"/>
    </row>
    <row r="38">
      <c r="A38" s="105"/>
      <c r="B38" s="109" t="s">
        <v>95</v>
      </c>
      <c r="C38" s="110" t="s">
        <v>3879</v>
      </c>
      <c r="D38" s="111" t="s">
        <v>2379</v>
      </c>
      <c r="E38" s="112" t="s">
        <v>2379</v>
      </c>
      <c r="F38" s="113"/>
    </row>
    <row r="39">
      <c r="A39" s="105"/>
      <c r="B39" s="114" t="s">
        <v>96</v>
      </c>
      <c r="C39" s="115" t="s">
        <v>3880</v>
      </c>
      <c r="D39" s="111" t="s">
        <v>2379</v>
      </c>
      <c r="E39" s="116" t="s">
        <v>2379</v>
      </c>
      <c r="F39" s="117"/>
    </row>
    <row r="40" ht="21.75" customHeight="1">
      <c r="A40" s="105"/>
      <c r="B40" s="109" t="s">
        <v>97</v>
      </c>
      <c r="C40" s="110" t="s">
        <v>3881</v>
      </c>
      <c r="D40" s="111" t="s">
        <v>2379</v>
      </c>
      <c r="E40" s="112" t="s">
        <v>2379</v>
      </c>
      <c r="F40" s="113"/>
    </row>
    <row r="41">
      <c r="A41" s="105"/>
      <c r="B41" s="114" t="s">
        <v>98</v>
      </c>
      <c r="C41" s="115" t="s">
        <v>3882</v>
      </c>
      <c r="D41" s="111" t="s">
        <v>2379</v>
      </c>
      <c r="E41" s="116" t="s">
        <v>2379</v>
      </c>
      <c r="F41" s="117"/>
    </row>
    <row r="42">
      <c r="A42" s="105"/>
      <c r="B42" s="109" t="s">
        <v>79</v>
      </c>
      <c r="C42" s="110" t="s">
        <v>3883</v>
      </c>
      <c r="D42" s="111" t="s">
        <v>2379</v>
      </c>
      <c r="E42" s="112" t="s">
        <v>2379</v>
      </c>
      <c r="F42" s="113"/>
    </row>
    <row r="43">
      <c r="A43" s="105"/>
      <c r="B43" s="114" t="s">
        <v>99</v>
      </c>
      <c r="C43" s="125" t="s">
        <v>3884</v>
      </c>
      <c r="D43" s="111" t="s">
        <v>2379</v>
      </c>
      <c r="E43" s="116" t="s">
        <v>2385</v>
      </c>
      <c r="F43" s="127"/>
    </row>
    <row r="44">
      <c r="A44" s="105"/>
      <c r="B44" s="109" t="s">
        <v>3885</v>
      </c>
      <c r="C44" s="128" t="s">
        <v>3886</v>
      </c>
      <c r="D44" s="111" t="s">
        <v>2379</v>
      </c>
      <c r="E44" s="112" t="s">
        <v>2385</v>
      </c>
      <c r="F44" s="129"/>
    </row>
    <row r="45">
      <c r="A45" s="105"/>
      <c r="B45" s="130" t="s">
        <v>100</v>
      </c>
      <c r="C45" s="131" t="s">
        <v>3887</v>
      </c>
      <c r="D45" s="132" t="s">
        <v>2379</v>
      </c>
      <c r="E45" s="133" t="s">
        <v>2385</v>
      </c>
      <c r="F45" s="134" t="s">
        <v>3888</v>
      </c>
    </row>
  </sheetData>
  <autoFilter ref="$D$7:$E$45"/>
  <mergeCells count="2">
    <mergeCell ref="B1:F1"/>
    <mergeCell ref="B2:F2"/>
  </mergeCells>
  <conditionalFormatting sqref="D8:E45">
    <cfRule type="cellIs" dxfId="6" priority="1" operator="equal">
      <formula>"YES"</formula>
    </cfRule>
  </conditionalFormatting>
  <conditionalFormatting sqref="D8:E45">
    <cfRule type="cellIs" dxfId="7" priority="2" operator="equal">
      <formula>"NO"</formula>
    </cfRule>
  </conditionalFormatting>
  <hyperlinks>
    <hyperlink r:id="rId1" location="gid=0" ref="F3"/>
  </hyperlinks>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6.0" topLeftCell="A7" activePane="bottomLeft" state="frozen"/>
      <selection activeCell="B8" sqref="B8" pane="bottomLeft"/>
    </sheetView>
  </sheetViews>
  <sheetFormatPr customHeight="1" defaultColWidth="12.63" defaultRowHeight="15.75"/>
  <cols>
    <col customWidth="1" min="1" max="1" width="2.63"/>
    <col customWidth="1" min="2" max="2" width="16.13"/>
    <col customWidth="1" min="3" max="3" width="55.63"/>
    <col customWidth="1" min="4" max="4" width="24.88"/>
    <col customWidth="1" min="5" max="5" width="19.75"/>
    <col customWidth="1" min="6" max="6" width="19.25"/>
  </cols>
  <sheetData>
    <row r="1" ht="41.25" customHeight="1">
      <c r="A1" s="135"/>
      <c r="B1" s="93" t="s">
        <v>3889</v>
      </c>
      <c r="C1" s="94"/>
      <c r="D1" s="94"/>
      <c r="E1" s="94"/>
      <c r="F1" s="94"/>
    </row>
    <row r="2">
      <c r="A2" s="136"/>
      <c r="B2" s="137"/>
      <c r="C2" s="138"/>
      <c r="D2" s="138"/>
      <c r="E2" s="138"/>
      <c r="F2" s="139"/>
    </row>
    <row r="3">
      <c r="A3" s="136"/>
      <c r="B3" s="140" t="s">
        <v>3890</v>
      </c>
      <c r="C3" s="136"/>
      <c r="D3" s="136"/>
      <c r="E3" s="136"/>
      <c r="F3" s="136"/>
    </row>
    <row r="4">
      <c r="A4" s="136"/>
      <c r="B4" s="140" t="s">
        <v>3891</v>
      </c>
      <c r="C4" s="136"/>
      <c r="D4" s="136"/>
      <c r="E4" s="136"/>
      <c r="F4" s="136"/>
    </row>
    <row r="5">
      <c r="A5" s="136"/>
      <c r="B5" s="141"/>
      <c r="C5" s="141"/>
      <c r="D5" s="141"/>
      <c r="E5" s="141"/>
      <c r="F5" s="141"/>
    </row>
    <row r="6" ht="25.5" customHeight="1">
      <c r="A6" s="142"/>
      <c r="B6" s="106" t="s">
        <v>3892</v>
      </c>
      <c r="C6" s="107" t="s">
        <v>3822</v>
      </c>
      <c r="D6" s="107" t="s">
        <v>3893</v>
      </c>
      <c r="E6" s="107" t="s">
        <v>3823</v>
      </c>
      <c r="F6" s="143" t="s">
        <v>3824</v>
      </c>
    </row>
    <row r="7">
      <c r="A7" s="144"/>
      <c r="B7" s="109" t="s">
        <v>3894</v>
      </c>
      <c r="C7" s="145" t="s">
        <v>3895</v>
      </c>
      <c r="D7" s="145" t="s">
        <v>170</v>
      </c>
      <c r="E7" s="112" t="s">
        <v>2379</v>
      </c>
      <c r="F7" s="146" t="s">
        <v>3896</v>
      </c>
    </row>
    <row r="8">
      <c r="A8" s="144"/>
      <c r="B8" s="114" t="s">
        <v>3897</v>
      </c>
      <c r="C8" s="147" t="s">
        <v>3898</v>
      </c>
      <c r="D8" s="147" t="s">
        <v>170</v>
      </c>
      <c r="E8" s="148" t="s">
        <v>3899</v>
      </c>
      <c r="F8" s="149" t="s">
        <v>2379</v>
      </c>
    </row>
    <row r="9">
      <c r="A9" s="144"/>
      <c r="B9" s="109" t="s">
        <v>3900</v>
      </c>
      <c r="C9" s="145" t="s">
        <v>3901</v>
      </c>
      <c r="D9" s="145" t="s">
        <v>170</v>
      </c>
      <c r="E9" s="112" t="s">
        <v>2379</v>
      </c>
      <c r="F9" s="146" t="s">
        <v>2379</v>
      </c>
    </row>
    <row r="10">
      <c r="A10" s="144"/>
      <c r="B10" s="114" t="s">
        <v>3902</v>
      </c>
      <c r="C10" s="125" t="s">
        <v>3903</v>
      </c>
      <c r="D10" s="115" t="s">
        <v>3904</v>
      </c>
      <c r="E10" s="116" t="s">
        <v>2379</v>
      </c>
      <c r="F10" s="149" t="s">
        <v>2385</v>
      </c>
    </row>
    <row r="11">
      <c r="A11" s="150"/>
      <c r="B11" s="121" t="s">
        <v>1614</v>
      </c>
      <c r="C11" s="110" t="s">
        <v>3905</v>
      </c>
      <c r="D11" s="151" t="s">
        <v>3906</v>
      </c>
      <c r="E11" s="123" t="s">
        <v>2379</v>
      </c>
      <c r="F11" s="152" t="s">
        <v>2379</v>
      </c>
    </row>
    <row r="12">
      <c r="A12" s="153"/>
      <c r="B12" s="154" t="s">
        <v>153</v>
      </c>
      <c r="C12" s="155" t="s">
        <v>3907</v>
      </c>
      <c r="D12" s="155" t="s">
        <v>150</v>
      </c>
      <c r="E12" s="156"/>
      <c r="F12" s="157"/>
    </row>
    <row r="13">
      <c r="A13" s="144"/>
      <c r="B13" s="109" t="s">
        <v>3908</v>
      </c>
      <c r="C13" s="145" t="s">
        <v>3909</v>
      </c>
      <c r="D13" s="145" t="s">
        <v>770</v>
      </c>
      <c r="E13" s="112" t="s">
        <v>2379</v>
      </c>
      <c r="F13" s="146" t="s">
        <v>2385</v>
      </c>
    </row>
    <row r="14">
      <c r="A14" s="158"/>
      <c r="B14" s="114" t="s">
        <v>987</v>
      </c>
      <c r="C14" s="147" t="s">
        <v>3910</v>
      </c>
      <c r="D14" s="147" t="s">
        <v>667</v>
      </c>
      <c r="E14" s="116" t="s">
        <v>2379</v>
      </c>
      <c r="F14" s="149" t="s">
        <v>2379</v>
      </c>
    </row>
    <row r="15">
      <c r="A15" s="144"/>
      <c r="B15" s="109" t="s">
        <v>3911</v>
      </c>
      <c r="C15" s="145" t="s">
        <v>3912</v>
      </c>
      <c r="D15" s="145" t="s">
        <v>667</v>
      </c>
      <c r="E15" s="112" t="s">
        <v>2379</v>
      </c>
      <c r="F15" s="146" t="s">
        <v>2379</v>
      </c>
    </row>
    <row r="16">
      <c r="A16" s="158"/>
      <c r="B16" s="114" t="s">
        <v>3913</v>
      </c>
      <c r="C16" s="147" t="s">
        <v>3914</v>
      </c>
      <c r="D16" s="147" t="s">
        <v>667</v>
      </c>
      <c r="E16" s="116" t="s">
        <v>2379</v>
      </c>
      <c r="F16" s="149" t="s">
        <v>2379</v>
      </c>
    </row>
    <row r="17">
      <c r="A17" s="144"/>
      <c r="B17" s="109" t="s">
        <v>670</v>
      </c>
      <c r="C17" s="145" t="s">
        <v>3915</v>
      </c>
      <c r="D17" s="145" t="s">
        <v>667</v>
      </c>
      <c r="E17" s="112" t="s">
        <v>2379</v>
      </c>
      <c r="F17" s="146" t="s">
        <v>2379</v>
      </c>
    </row>
    <row r="18">
      <c r="A18" s="158"/>
      <c r="B18" s="114" t="s">
        <v>1757</v>
      </c>
      <c r="C18" s="147" t="s">
        <v>3916</v>
      </c>
      <c r="D18" s="147" t="s">
        <v>3917</v>
      </c>
      <c r="E18" s="116" t="s">
        <v>2379</v>
      </c>
      <c r="F18" s="149" t="s">
        <v>3896</v>
      </c>
    </row>
    <row r="19">
      <c r="A19" s="144"/>
      <c r="B19" s="109" t="s">
        <v>3918</v>
      </c>
      <c r="C19" s="145" t="s">
        <v>3919</v>
      </c>
      <c r="D19" s="145" t="s">
        <v>3858</v>
      </c>
      <c r="E19" s="112" t="s">
        <v>2379</v>
      </c>
      <c r="F19" s="146" t="s">
        <v>3896</v>
      </c>
    </row>
    <row r="20">
      <c r="A20" s="158"/>
      <c r="B20" s="114" t="s">
        <v>3920</v>
      </c>
      <c r="C20" s="147" t="s">
        <v>3921</v>
      </c>
      <c r="D20" s="147" t="s">
        <v>3858</v>
      </c>
      <c r="E20" s="116" t="s">
        <v>2379</v>
      </c>
      <c r="F20" s="149" t="s">
        <v>2379</v>
      </c>
    </row>
    <row r="21">
      <c r="A21" s="144"/>
      <c r="B21" s="109" t="s">
        <v>3922</v>
      </c>
      <c r="C21" s="145" t="s">
        <v>3923</v>
      </c>
      <c r="D21" s="145" t="s">
        <v>3858</v>
      </c>
      <c r="E21" s="112" t="s">
        <v>2379</v>
      </c>
      <c r="F21" s="146" t="s">
        <v>2379</v>
      </c>
    </row>
    <row r="22">
      <c r="A22" s="158"/>
      <c r="B22" s="114" t="s">
        <v>3924</v>
      </c>
      <c r="C22" s="147" t="s">
        <v>3925</v>
      </c>
      <c r="D22" s="147" t="s">
        <v>3858</v>
      </c>
      <c r="E22" s="116" t="s">
        <v>2379</v>
      </c>
      <c r="F22" s="149" t="s">
        <v>2379</v>
      </c>
    </row>
    <row r="23">
      <c r="A23" s="144"/>
      <c r="B23" s="109" t="s">
        <v>3926</v>
      </c>
      <c r="C23" s="145" t="s">
        <v>3927</v>
      </c>
      <c r="D23" s="145" t="s">
        <v>3928</v>
      </c>
      <c r="E23" s="112" t="s">
        <v>2379</v>
      </c>
      <c r="F23" s="146" t="s">
        <v>2379</v>
      </c>
    </row>
    <row r="24">
      <c r="A24" s="158"/>
      <c r="B24" s="114" t="s">
        <v>809</v>
      </c>
      <c r="C24" s="147" t="s">
        <v>3929</v>
      </c>
      <c r="D24" s="147" t="s">
        <v>341</v>
      </c>
      <c r="E24" s="116" t="s">
        <v>2379</v>
      </c>
      <c r="F24" s="149" t="s">
        <v>3896</v>
      </c>
    </row>
    <row r="25">
      <c r="A25" s="144"/>
      <c r="B25" s="109" t="s">
        <v>3930</v>
      </c>
      <c r="C25" s="145" t="s">
        <v>3931</v>
      </c>
      <c r="D25" s="145" t="s">
        <v>341</v>
      </c>
      <c r="E25" s="112" t="s">
        <v>2379</v>
      </c>
      <c r="F25" s="146" t="s">
        <v>3932</v>
      </c>
    </row>
    <row r="26">
      <c r="A26" s="158"/>
      <c r="B26" s="114" t="s">
        <v>3933</v>
      </c>
      <c r="C26" s="147" t="s">
        <v>3934</v>
      </c>
      <c r="D26" s="147" t="s">
        <v>341</v>
      </c>
      <c r="E26" s="116" t="s">
        <v>2379</v>
      </c>
      <c r="F26" s="149" t="s">
        <v>2385</v>
      </c>
    </row>
    <row r="27">
      <c r="A27" s="144"/>
      <c r="B27" s="109" t="s">
        <v>3935</v>
      </c>
      <c r="C27" s="145" t="s">
        <v>3936</v>
      </c>
      <c r="D27" s="145" t="s">
        <v>341</v>
      </c>
      <c r="E27" s="112" t="s">
        <v>2379</v>
      </c>
      <c r="F27" s="146" t="s">
        <v>2385</v>
      </c>
    </row>
    <row r="28">
      <c r="A28" s="158"/>
      <c r="B28" s="114" t="s">
        <v>3937</v>
      </c>
      <c r="C28" s="147" t="s">
        <v>3938</v>
      </c>
      <c r="D28" s="147" t="s">
        <v>341</v>
      </c>
      <c r="E28" s="116" t="s">
        <v>2379</v>
      </c>
      <c r="F28" s="149" t="s">
        <v>2385</v>
      </c>
    </row>
    <row r="29">
      <c r="A29" s="144"/>
      <c r="B29" s="109" t="s">
        <v>3939</v>
      </c>
      <c r="C29" s="145" t="s">
        <v>3940</v>
      </c>
      <c r="D29" s="145" t="s">
        <v>341</v>
      </c>
      <c r="E29" s="112" t="s">
        <v>2379</v>
      </c>
      <c r="F29" s="146" t="s">
        <v>2385</v>
      </c>
    </row>
    <row r="30">
      <c r="A30" s="158"/>
      <c r="B30" s="114" t="s">
        <v>3941</v>
      </c>
      <c r="C30" s="147" t="s">
        <v>3942</v>
      </c>
      <c r="D30" s="147" t="s">
        <v>341</v>
      </c>
      <c r="E30" s="116" t="s">
        <v>2379</v>
      </c>
      <c r="F30" s="149" t="s">
        <v>2385</v>
      </c>
    </row>
    <row r="31">
      <c r="A31" s="144"/>
      <c r="B31" s="109" t="s">
        <v>3943</v>
      </c>
      <c r="C31" s="145" t="s">
        <v>3944</v>
      </c>
      <c r="D31" s="145" t="s">
        <v>341</v>
      </c>
      <c r="E31" s="112" t="s">
        <v>2379</v>
      </c>
      <c r="F31" s="146" t="s">
        <v>2385</v>
      </c>
    </row>
    <row r="32">
      <c r="A32" s="158"/>
      <c r="B32" s="114" t="s">
        <v>3945</v>
      </c>
      <c r="C32" s="147" t="s">
        <v>3946</v>
      </c>
      <c r="D32" s="147" t="s">
        <v>183</v>
      </c>
      <c r="E32" s="116" t="s">
        <v>2379</v>
      </c>
      <c r="F32" s="149" t="s">
        <v>2379</v>
      </c>
    </row>
    <row r="33">
      <c r="A33" s="144"/>
      <c r="B33" s="109" t="s">
        <v>3947</v>
      </c>
      <c r="C33" s="110" t="s">
        <v>3948</v>
      </c>
      <c r="D33" s="145" t="s">
        <v>183</v>
      </c>
      <c r="E33" s="112" t="s">
        <v>2379</v>
      </c>
      <c r="F33" s="146" t="s">
        <v>2379</v>
      </c>
    </row>
    <row r="34">
      <c r="A34" s="158"/>
      <c r="B34" s="114" t="s">
        <v>3949</v>
      </c>
      <c r="C34" s="147" t="s">
        <v>3950</v>
      </c>
      <c r="D34" s="147" t="s">
        <v>3951</v>
      </c>
      <c r="E34" s="116" t="s">
        <v>3952</v>
      </c>
      <c r="F34" s="149" t="s">
        <v>2379</v>
      </c>
    </row>
    <row r="35">
      <c r="A35" s="144"/>
      <c r="B35" s="109" t="s">
        <v>3953</v>
      </c>
      <c r="C35" s="145" t="s">
        <v>3954</v>
      </c>
      <c r="D35" s="159" t="s">
        <v>3955</v>
      </c>
      <c r="E35" s="112" t="s">
        <v>2379</v>
      </c>
      <c r="F35" s="146" t="s">
        <v>2379</v>
      </c>
    </row>
    <row r="36">
      <c r="A36" s="158"/>
      <c r="B36" s="114" t="s">
        <v>206</v>
      </c>
      <c r="C36" s="147" t="s">
        <v>3956</v>
      </c>
      <c r="D36" s="160" t="s">
        <v>3955</v>
      </c>
      <c r="E36" s="116" t="s">
        <v>2379</v>
      </c>
      <c r="F36" s="149" t="s">
        <v>2379</v>
      </c>
    </row>
    <row r="37">
      <c r="A37" s="144"/>
      <c r="B37" s="109" t="s">
        <v>106</v>
      </c>
      <c r="C37" s="145" t="s">
        <v>3957</v>
      </c>
      <c r="D37" s="145" t="s">
        <v>3958</v>
      </c>
      <c r="E37" s="112" t="s">
        <v>2379</v>
      </c>
      <c r="F37" s="146" t="s">
        <v>2385</v>
      </c>
    </row>
    <row r="38">
      <c r="A38" s="158"/>
      <c r="B38" s="114" t="s">
        <v>3959</v>
      </c>
      <c r="C38" s="147" t="s">
        <v>3960</v>
      </c>
      <c r="D38" s="160" t="s">
        <v>3955</v>
      </c>
      <c r="E38" s="116" t="s">
        <v>2379</v>
      </c>
      <c r="F38" s="149" t="s">
        <v>2379</v>
      </c>
    </row>
    <row r="39">
      <c r="A39" s="144"/>
      <c r="B39" s="109" t="s">
        <v>3961</v>
      </c>
      <c r="C39" s="110" t="s">
        <v>3962</v>
      </c>
      <c r="D39" s="159" t="s">
        <v>3955</v>
      </c>
      <c r="E39" s="112" t="s">
        <v>2379</v>
      </c>
      <c r="F39" s="146" t="s">
        <v>2379</v>
      </c>
    </row>
    <row r="40">
      <c r="A40" s="158"/>
      <c r="B40" s="114" t="s">
        <v>3963</v>
      </c>
      <c r="C40" s="147" t="s">
        <v>3964</v>
      </c>
      <c r="D40" s="160" t="s">
        <v>3955</v>
      </c>
      <c r="E40" s="116" t="s">
        <v>2379</v>
      </c>
      <c r="F40" s="149" t="s">
        <v>2379</v>
      </c>
    </row>
    <row r="41">
      <c r="A41" s="144"/>
      <c r="B41" s="109" t="s">
        <v>3965</v>
      </c>
      <c r="C41" s="145" t="s">
        <v>3966</v>
      </c>
      <c r="D41" s="159" t="s">
        <v>3955</v>
      </c>
      <c r="E41" s="112" t="s">
        <v>2379</v>
      </c>
      <c r="F41" s="146" t="s">
        <v>2379</v>
      </c>
    </row>
    <row r="42">
      <c r="A42" s="158"/>
      <c r="B42" s="114" t="s">
        <v>3967</v>
      </c>
      <c r="C42" s="125" t="s">
        <v>3968</v>
      </c>
      <c r="D42" s="160" t="s">
        <v>3955</v>
      </c>
      <c r="E42" s="116" t="s">
        <v>2379</v>
      </c>
      <c r="F42" s="149" t="s">
        <v>2379</v>
      </c>
    </row>
    <row r="43">
      <c r="A43" s="144"/>
      <c r="B43" s="109" t="s">
        <v>605</v>
      </c>
      <c r="C43" s="145" t="s">
        <v>3969</v>
      </c>
      <c r="D43" s="145" t="s">
        <v>3958</v>
      </c>
      <c r="E43" s="112" t="s">
        <v>2379</v>
      </c>
      <c r="F43" s="146" t="s">
        <v>2379</v>
      </c>
    </row>
    <row r="44">
      <c r="A44" s="158"/>
      <c r="B44" s="114" t="s">
        <v>3970</v>
      </c>
      <c r="C44" s="125" t="s">
        <v>3971</v>
      </c>
      <c r="D44" s="147" t="s">
        <v>3958</v>
      </c>
      <c r="E44" s="116" t="s">
        <v>2379</v>
      </c>
      <c r="F44" s="149" t="s">
        <v>2385</v>
      </c>
    </row>
    <row r="45">
      <c r="A45" s="144"/>
      <c r="B45" s="109" t="s">
        <v>116</v>
      </c>
      <c r="C45" s="145" t="s">
        <v>3972</v>
      </c>
      <c r="D45" s="145" t="s">
        <v>3973</v>
      </c>
      <c r="E45" s="112" t="s">
        <v>2379</v>
      </c>
      <c r="F45" s="152" t="s">
        <v>3974</v>
      </c>
    </row>
    <row r="46">
      <c r="A46" s="158"/>
      <c r="B46" s="114" t="s">
        <v>3787</v>
      </c>
      <c r="C46" s="161" t="s">
        <v>3975</v>
      </c>
      <c r="D46" s="160" t="s">
        <v>3955</v>
      </c>
      <c r="E46" s="116" t="s">
        <v>2379</v>
      </c>
      <c r="F46" s="149" t="s">
        <v>2379</v>
      </c>
    </row>
    <row r="47">
      <c r="A47" s="144"/>
      <c r="B47" s="109" t="s">
        <v>3976</v>
      </c>
      <c r="C47" s="145" t="s">
        <v>3977</v>
      </c>
      <c r="D47" s="159" t="s">
        <v>3955</v>
      </c>
      <c r="E47" s="112" t="s">
        <v>2379</v>
      </c>
      <c r="F47" s="146" t="s">
        <v>2379</v>
      </c>
    </row>
    <row r="48">
      <c r="A48" s="158"/>
      <c r="B48" s="130" t="s">
        <v>3978</v>
      </c>
      <c r="C48" s="162" t="s">
        <v>3979</v>
      </c>
      <c r="D48" s="160" t="s">
        <v>3955</v>
      </c>
      <c r="E48" s="133" t="s">
        <v>2379</v>
      </c>
      <c r="F48" s="163" t="s">
        <v>2379</v>
      </c>
    </row>
  </sheetData>
  <autoFilter ref="$D$6:$F$48"/>
  <mergeCells count="2">
    <mergeCell ref="B1:F1"/>
    <mergeCell ref="B2:F2"/>
  </mergeCells>
  <conditionalFormatting sqref="E7:F48">
    <cfRule type="containsText" dxfId="6" priority="1" operator="containsText" text="YES">
      <formula>NOT(ISERROR(SEARCH(("YES"),(E7))))</formula>
    </cfRule>
  </conditionalFormatting>
  <conditionalFormatting sqref="E7:F48">
    <cfRule type="notContainsText" dxfId="7" priority="2" operator="notContains" text="YES">
      <formula>ISERROR(SEARCH(("YES"),(E7)))</formula>
    </cfRule>
  </conditionalFormatting>
  <drawing r:id="rId1"/>
</worksheet>
</file>